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6440" windowHeight="15400" tabRatio="500" activeTab="1"/>
  </bookViews>
  <sheets>
    <sheet name="041211" sheetId="1" r:id="rId1"/>
    <sheet name="041511" sheetId="2" r:id="rId2"/>
    <sheet name="041811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5" i="2" l="1"/>
  <c r="U16" i="2"/>
  <c r="U17" i="2"/>
  <c r="U18" i="2"/>
  <c r="U19" i="2"/>
  <c r="U20" i="2"/>
  <c r="V15" i="2"/>
  <c r="U9" i="2"/>
  <c r="U10" i="2"/>
  <c r="U11" i="2"/>
  <c r="U12" i="2"/>
  <c r="U13" i="2"/>
  <c r="U14" i="2"/>
  <c r="V9" i="2"/>
  <c r="U3" i="2"/>
  <c r="U4" i="2"/>
  <c r="U5" i="2"/>
  <c r="U6" i="2"/>
  <c r="U7" i="2"/>
  <c r="U8" i="2"/>
  <c r="V3" i="2"/>
  <c r="O27" i="3"/>
  <c r="M27" i="3"/>
  <c r="N27" i="3"/>
  <c r="I3" i="3"/>
  <c r="J3" i="3"/>
  <c r="I22" i="3"/>
  <c r="H3" i="2"/>
  <c r="N3" i="2"/>
  <c r="J20" i="3"/>
  <c r="I20" i="3"/>
  <c r="I39" i="3"/>
  <c r="J19" i="3"/>
  <c r="I19" i="3"/>
  <c r="I38" i="3"/>
  <c r="J18" i="3"/>
  <c r="I18" i="3"/>
  <c r="I37" i="3"/>
  <c r="J17" i="3"/>
  <c r="I17" i="3"/>
  <c r="I36" i="3"/>
  <c r="J16" i="3"/>
  <c r="I16" i="3"/>
  <c r="I35" i="3"/>
  <c r="J15" i="3"/>
  <c r="J14" i="3"/>
  <c r="J13" i="3"/>
  <c r="J12" i="3"/>
  <c r="I12" i="3"/>
  <c r="I31" i="3"/>
  <c r="J11" i="3"/>
  <c r="I11" i="3"/>
  <c r="I30" i="3"/>
  <c r="J10" i="3"/>
  <c r="I10" i="3"/>
  <c r="I29" i="3"/>
  <c r="J9" i="3"/>
  <c r="I9" i="3"/>
  <c r="I28" i="3"/>
  <c r="J8" i="3"/>
  <c r="J7" i="3"/>
  <c r="J6" i="3"/>
  <c r="J5" i="3"/>
  <c r="J4" i="3"/>
  <c r="I4" i="3"/>
  <c r="I23" i="3"/>
  <c r="I15" i="3"/>
  <c r="I34" i="3"/>
  <c r="I14" i="3"/>
  <c r="I33" i="3"/>
  <c r="I13" i="3"/>
  <c r="I32" i="3"/>
  <c r="I8" i="3"/>
  <c r="I27" i="3"/>
  <c r="I7" i="3"/>
  <c r="I26" i="3"/>
  <c r="I6" i="3"/>
  <c r="I25" i="3"/>
  <c r="I5" i="3"/>
  <c r="I24" i="3"/>
  <c r="H15" i="2"/>
  <c r="M15" i="2"/>
  <c r="N15" i="2"/>
  <c r="M34" i="2"/>
  <c r="H16" i="2"/>
  <c r="M16" i="2"/>
  <c r="N16" i="2"/>
  <c r="M35" i="2"/>
  <c r="H17" i="2"/>
  <c r="M17" i="2"/>
  <c r="N17" i="2"/>
  <c r="M36" i="2"/>
  <c r="H18" i="2"/>
  <c r="M18" i="2"/>
  <c r="N18" i="2"/>
  <c r="M37" i="2"/>
  <c r="H19" i="2"/>
  <c r="M19" i="2"/>
  <c r="N19" i="2"/>
  <c r="M38" i="2"/>
  <c r="H20" i="2"/>
  <c r="M20" i="2"/>
  <c r="N20" i="2"/>
  <c r="M39" i="2"/>
  <c r="N34" i="2"/>
  <c r="H9" i="2"/>
  <c r="M9" i="2"/>
  <c r="N9" i="2"/>
  <c r="M28" i="2"/>
  <c r="H10" i="2"/>
  <c r="M10" i="2"/>
  <c r="N10" i="2"/>
  <c r="M29" i="2"/>
  <c r="H11" i="2"/>
  <c r="M11" i="2"/>
  <c r="N11" i="2"/>
  <c r="M30" i="2"/>
  <c r="H12" i="2"/>
  <c r="M12" i="2"/>
  <c r="N12" i="2"/>
  <c r="M31" i="2"/>
  <c r="H13" i="2"/>
  <c r="M13" i="2"/>
  <c r="N13" i="2"/>
  <c r="M32" i="2"/>
  <c r="H14" i="2"/>
  <c r="M14" i="2"/>
  <c r="N14" i="2"/>
  <c r="M33" i="2"/>
  <c r="N28" i="2"/>
  <c r="M3" i="2"/>
  <c r="M22" i="2"/>
  <c r="H4" i="2"/>
  <c r="M4" i="2"/>
  <c r="N4" i="2"/>
  <c r="M23" i="2"/>
  <c r="H5" i="2"/>
  <c r="M5" i="2"/>
  <c r="N5" i="2"/>
  <c r="M24" i="2"/>
  <c r="H6" i="2"/>
  <c r="M6" i="2"/>
  <c r="N6" i="2"/>
  <c r="M25" i="2"/>
  <c r="H7" i="2"/>
  <c r="M7" i="2"/>
  <c r="N7" i="2"/>
  <c r="M26" i="2"/>
  <c r="H8" i="2"/>
  <c r="M8" i="2"/>
  <c r="N8" i="2"/>
  <c r="M27" i="2"/>
  <c r="N22" i="2"/>
  <c r="P3" i="2"/>
  <c r="J3" i="1"/>
  <c r="J5" i="1"/>
  <c r="J7" i="1"/>
  <c r="K3" i="1"/>
  <c r="K4" i="1"/>
  <c r="J9" i="1"/>
  <c r="J11" i="1"/>
  <c r="J13" i="1"/>
  <c r="K8" i="1"/>
  <c r="K9" i="1"/>
  <c r="J15" i="1"/>
  <c r="J17" i="1"/>
  <c r="J19" i="1"/>
  <c r="K15" i="1"/>
  <c r="K16" i="1"/>
  <c r="I2" i="1"/>
  <c r="L2" i="1"/>
  <c r="L16" i="3"/>
  <c r="L17" i="3"/>
  <c r="L18" i="3"/>
  <c r="L19" i="3"/>
  <c r="L20" i="3"/>
  <c r="L15" i="3"/>
  <c r="L10" i="3"/>
  <c r="L11" i="3"/>
  <c r="L12" i="3"/>
  <c r="L13" i="3"/>
  <c r="L14" i="3"/>
  <c r="L9" i="3"/>
  <c r="L4" i="3"/>
  <c r="L5" i="3"/>
  <c r="L6" i="3"/>
  <c r="L7" i="3"/>
  <c r="L8" i="3"/>
  <c r="L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3" i="3"/>
  <c r="D24" i="3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I3" i="1"/>
  <c r="L3" i="1"/>
  <c r="I4" i="1"/>
  <c r="L4" i="1"/>
  <c r="I5" i="1"/>
  <c r="L5" i="1"/>
  <c r="I6" i="1"/>
  <c r="L6" i="1"/>
  <c r="I7" i="1"/>
  <c r="L7" i="1"/>
  <c r="I8" i="1"/>
  <c r="L8" i="1"/>
  <c r="I9" i="1"/>
  <c r="L9" i="1"/>
  <c r="I10" i="1"/>
  <c r="L10" i="1"/>
  <c r="I11" i="1"/>
  <c r="L11" i="1"/>
  <c r="I12" i="1"/>
  <c r="L12" i="1"/>
  <c r="I13" i="1"/>
  <c r="L13" i="1"/>
  <c r="I14" i="1"/>
  <c r="L14" i="1"/>
  <c r="I15" i="1"/>
  <c r="L15" i="1"/>
  <c r="I16" i="1"/>
  <c r="L16" i="1"/>
  <c r="I17" i="1"/>
  <c r="L17" i="1"/>
  <c r="I18" i="1"/>
  <c r="L18" i="1"/>
  <c r="I19" i="1"/>
  <c r="L19" i="1"/>
  <c r="J28" i="3"/>
  <c r="J22" i="3"/>
  <c r="J34" i="3"/>
  <c r="Q3" i="2"/>
  <c r="O3" i="2"/>
  <c r="M2" i="1"/>
  <c r="E25" i="1"/>
  <c r="E23" i="1"/>
  <c r="Q15" i="2"/>
  <c r="Q9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14" i="1"/>
  <c r="O15" i="1"/>
  <c r="O16" i="1"/>
  <c r="O17" i="1"/>
  <c r="O18" i="1"/>
  <c r="O19" i="1"/>
  <c r="P14" i="1"/>
  <c r="O8" i="1"/>
  <c r="O9" i="1"/>
  <c r="O10" i="1"/>
  <c r="O11" i="1"/>
  <c r="O12" i="1"/>
  <c r="O13" i="1"/>
  <c r="P8" i="1"/>
  <c r="O2" i="1"/>
  <c r="O3" i="1"/>
  <c r="O4" i="1"/>
  <c r="O5" i="1"/>
  <c r="O6" i="1"/>
  <c r="O7" i="1"/>
  <c r="P2" i="1"/>
  <c r="M9" i="3"/>
  <c r="M15" i="3"/>
  <c r="M3" i="3"/>
  <c r="Q4" i="3"/>
  <c r="Q5" i="3"/>
  <c r="Q6" i="3"/>
  <c r="Q15" i="3"/>
  <c r="Q16" i="3"/>
  <c r="Q9" i="3"/>
  <c r="Q10" i="3"/>
  <c r="Q17" i="3"/>
  <c r="Q18" i="3"/>
  <c r="Q11" i="3"/>
  <c r="Q12" i="3"/>
  <c r="Q13" i="3"/>
  <c r="Q14" i="3"/>
  <c r="Q7" i="3"/>
  <c r="Q8" i="3"/>
  <c r="Q19" i="3"/>
  <c r="Q20" i="3"/>
  <c r="Q3" i="3"/>
  <c r="M18" i="1"/>
  <c r="M19" i="1"/>
  <c r="M16" i="1"/>
  <c r="M17" i="1"/>
  <c r="N17" i="1"/>
  <c r="M14" i="1"/>
  <c r="M15" i="1"/>
  <c r="M6" i="1"/>
  <c r="M7" i="1"/>
  <c r="M4" i="1"/>
  <c r="M5" i="1"/>
  <c r="M3" i="1"/>
  <c r="M12" i="1"/>
  <c r="M13" i="1"/>
  <c r="N13" i="1"/>
  <c r="M10" i="1"/>
  <c r="M11" i="1"/>
  <c r="M9" i="1"/>
  <c r="M8" i="1"/>
  <c r="N3" i="1"/>
  <c r="N8" i="1"/>
  <c r="N2" i="1"/>
  <c r="N14" i="1"/>
  <c r="N19" i="1"/>
  <c r="R9" i="3"/>
  <c r="R10" i="3"/>
  <c r="R3" i="3"/>
  <c r="R4" i="3"/>
  <c r="R15" i="3"/>
  <c r="R16" i="3"/>
  <c r="N9" i="1"/>
  <c r="N15" i="1"/>
  <c r="N11" i="1"/>
  <c r="N5" i="1"/>
  <c r="N7" i="1"/>
</calcChain>
</file>

<file path=xl/sharedStrings.xml><?xml version="1.0" encoding="utf-8"?>
<sst xmlns="http://schemas.openxmlformats.org/spreadsheetml/2006/main" count="145" uniqueCount="62">
  <si>
    <t>Tank</t>
  </si>
  <si>
    <t>pCO2</t>
  </si>
  <si>
    <t>Total Eggs</t>
  </si>
  <si>
    <t>Only trocophores, no D-hinge</t>
  </si>
  <si>
    <t>Dead</t>
  </si>
  <si>
    <t>Live on bottom</t>
  </si>
  <si>
    <t>Total</t>
  </si>
  <si>
    <t>Total larvae in container</t>
  </si>
  <si>
    <t>Larvae per mL</t>
  </si>
  <si>
    <t>Remove vol. to get 60,000 larvae</t>
  </si>
  <si>
    <t>4B1</t>
  </si>
  <si>
    <t>4B2</t>
  </si>
  <si>
    <t>4B3</t>
  </si>
  <si>
    <t>5B1</t>
  </si>
  <si>
    <t>5B2</t>
  </si>
  <si>
    <t>5B3</t>
  </si>
  <si>
    <t>6B1</t>
  </si>
  <si>
    <t>6B2</t>
  </si>
  <si>
    <t>6B3</t>
  </si>
  <si>
    <t>Time sampled</t>
  </si>
  <si>
    <t>Average total for tank</t>
  </si>
  <si>
    <t>Average larvae per mL</t>
  </si>
  <si>
    <t>Deformed swimmers</t>
  </si>
  <si>
    <t>Swimming (includes deformed)</t>
  </si>
  <si>
    <t>1.87 L</t>
  </si>
  <si>
    <t>1.16 L</t>
  </si>
  <si>
    <t>1.64 L</t>
  </si>
  <si>
    <t>1.25 L</t>
  </si>
  <si>
    <t>991 mL</t>
  </si>
  <si>
    <t>1.28 L</t>
  </si>
  <si>
    <t>TROCOPHORE</t>
  </si>
  <si>
    <t>D-HINGE</t>
  </si>
  <si>
    <t>5B1*</t>
  </si>
  <si>
    <t>4B1*</t>
  </si>
  <si>
    <t>uncalcified</t>
  </si>
  <si>
    <t>partially calcified</t>
  </si>
  <si>
    <t>calcified</t>
  </si>
  <si>
    <t>* ciliates</t>
  </si>
  <si>
    <t>hard to tell stage of deformed larvae</t>
  </si>
  <si>
    <t>Tank 4: 400 ppm, 8.03</t>
  </si>
  <si>
    <t>Tank 6: 1000 ppm, 7.67</t>
  </si>
  <si>
    <t>Tank 5: 280 ppm 8.17</t>
  </si>
  <si>
    <t>aliquots = 3x 50 uL</t>
  </si>
  <si>
    <t>aliquots = 3x 333 uL</t>
  </si>
  <si>
    <t>6B1*</t>
  </si>
  <si>
    <t>6B2*</t>
  </si>
  <si>
    <t>5B2*</t>
  </si>
  <si>
    <t>many morts were empty shells</t>
  </si>
  <si>
    <t>calcification done 4/19 (other data 4/18)</t>
  </si>
  <si>
    <t>Proportion calcfiied</t>
  </si>
  <si>
    <t>Proportion calcified</t>
  </si>
  <si>
    <t xml:space="preserve">mean </t>
  </si>
  <si>
    <t>SD</t>
  </si>
  <si>
    <t>% hatch</t>
  </si>
  <si>
    <t>mean hatch</t>
  </si>
  <si>
    <t xml:space="preserve"> total for tank</t>
  </si>
  <si>
    <t>Average counted in 150 UL total for tank</t>
  </si>
  <si>
    <t>Total LIVE larvae in container</t>
  </si>
  <si>
    <t>(No live/.15 mL)=larvae per mL</t>
  </si>
  <si>
    <t>mean swimmers</t>
  </si>
  <si>
    <t>% swim</t>
  </si>
  <si>
    <t>relative survival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</si>
</sst>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6" tint="-0.499984740745262"/>
      <name val="Calibri"/>
      <family val="2"/>
      <scheme val="minor"/>
    </font>
    <font>
      <sz val="12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20" fontId="4" fillId="0" borderId="0" xfId="0" applyNumberFormat="1" applyFont="1"/>
    <xf numFmtId="0" fontId="5" fillId="0" borderId="0" xfId="0" applyFont="1"/>
    <xf numFmtId="20" fontId="5" fillId="0" borderId="0" xfId="0" applyNumberFormat="1" applyFont="1"/>
    <xf numFmtId="20" fontId="3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" fontId="5" fillId="0" borderId="0" xfId="0" applyNumberFormat="1" applyFont="1"/>
    <xf numFmtId="1" fontId="0" fillId="0" borderId="0" xfId="0" applyNumberFormat="1"/>
    <xf numFmtId="1" fontId="3" fillId="0" borderId="0" xfId="0" applyNumberFormat="1" applyFont="1"/>
    <xf numFmtId="1" fontId="4" fillId="0" borderId="0" xfId="0" applyNumberFormat="1" applyFont="1"/>
    <xf numFmtId="2" fontId="3" fillId="0" borderId="0" xfId="0" applyNumberFormat="1" applyFont="1"/>
    <xf numFmtId="0" fontId="0" fillId="0" borderId="0" xfId="0" applyAlignment="1">
      <alignment horizontal="center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opLeftCell="C1" workbookViewId="0">
      <selection activeCell="K22" sqref="K22"/>
    </sheetView>
  </sheetViews>
  <sheetFormatPr baseColWidth="10" defaultColWidth="11" defaultRowHeight="15" x14ac:dyDescent="0"/>
  <sheetData>
    <row r="1" spans="1:17" s="1" customFormat="1" ht="75">
      <c r="A1" s="1" t="s">
        <v>0</v>
      </c>
      <c r="B1" s="1" t="s">
        <v>19</v>
      </c>
      <c r="C1" s="1" t="s">
        <v>1</v>
      </c>
      <c r="D1" s="1" t="s">
        <v>2</v>
      </c>
      <c r="E1" s="1" t="s">
        <v>4</v>
      </c>
      <c r="F1" s="1" t="s">
        <v>5</v>
      </c>
      <c r="G1" s="1" t="s">
        <v>22</v>
      </c>
      <c r="H1" s="1" t="s">
        <v>6</v>
      </c>
      <c r="I1" s="1" t="s">
        <v>23</v>
      </c>
      <c r="J1" s="1" t="s">
        <v>56</v>
      </c>
      <c r="K1" s="1" t="s">
        <v>59</v>
      </c>
      <c r="L1" s="1" t="s">
        <v>57</v>
      </c>
      <c r="M1" s="1" t="s">
        <v>8</v>
      </c>
      <c r="N1" s="1" t="s">
        <v>21</v>
      </c>
      <c r="O1" s="1" t="s">
        <v>53</v>
      </c>
      <c r="P1" s="1" t="s">
        <v>54</v>
      </c>
      <c r="Q1" s="1" t="s">
        <v>9</v>
      </c>
    </row>
    <row r="2" spans="1:17" s="2" customFormat="1">
      <c r="A2" s="2" t="s">
        <v>13</v>
      </c>
      <c r="B2" s="7">
        <v>0.40625</v>
      </c>
      <c r="C2" s="2">
        <v>280</v>
      </c>
      <c r="D2" s="2">
        <v>1</v>
      </c>
      <c r="E2" s="2">
        <v>0</v>
      </c>
      <c r="F2" s="2">
        <v>0</v>
      </c>
      <c r="G2" s="2">
        <v>1</v>
      </c>
      <c r="H2" s="2">
        <v>90</v>
      </c>
      <c r="I2" s="2">
        <f>H2-(D2+E2+F2)</f>
        <v>89</v>
      </c>
      <c r="L2" s="2">
        <f>(I2+F2)*6.6*4000</f>
        <v>2349600</v>
      </c>
      <c r="M2" s="13">
        <f t="shared" ref="M2:M13" si="0">L2/4000</f>
        <v>587.4</v>
      </c>
      <c r="N2" s="8">
        <f>AVERAGE(M2:M7)</f>
        <v>1037.3</v>
      </c>
      <c r="O2" s="2">
        <f>(I2/H2)*100</f>
        <v>98.888888888888886</v>
      </c>
      <c r="P2" s="2">
        <f>AVERAGE(O2:O7)</f>
        <v>97.118713947327251</v>
      </c>
    </row>
    <row r="3" spans="1:17" s="2" customFormat="1">
      <c r="A3" s="2" t="s">
        <v>13</v>
      </c>
      <c r="C3" s="2">
        <v>280</v>
      </c>
      <c r="D3" s="2">
        <v>1</v>
      </c>
      <c r="E3" s="2">
        <v>1</v>
      </c>
      <c r="F3" s="2">
        <v>0</v>
      </c>
      <c r="G3" s="2">
        <v>2</v>
      </c>
      <c r="H3" s="2">
        <v>134</v>
      </c>
      <c r="I3" s="2">
        <f t="shared" ref="I3:I7" si="1">H3-(D3+E3+F3)</f>
        <v>132</v>
      </c>
      <c r="J3" s="2">
        <f>AVERAGE(H2:H3)</f>
        <v>112</v>
      </c>
      <c r="K3" s="2">
        <f>AVERAGE(J3,J5,J7)</f>
        <v>161.33333333333334</v>
      </c>
      <c r="L3" s="2">
        <f t="shared" ref="L3:L19" si="2">(I3+F3)*6.6*4000</f>
        <v>3484799.9999999995</v>
      </c>
      <c r="M3" s="13">
        <f t="shared" si="0"/>
        <v>871.19999999999993</v>
      </c>
      <c r="N3" s="2">
        <f>AVERAGE(M2:M3)</f>
        <v>729.3</v>
      </c>
      <c r="O3" s="2">
        <f t="shared" ref="O3:O19" si="3">(I3/H3)*100</f>
        <v>98.507462686567166</v>
      </c>
      <c r="Q3" s="2">
        <v>0</v>
      </c>
    </row>
    <row r="4" spans="1:17" s="2" customFormat="1">
      <c r="A4" s="2" t="s">
        <v>14</v>
      </c>
      <c r="B4" s="7">
        <v>0.43611111111111112</v>
      </c>
      <c r="C4" s="2">
        <v>280</v>
      </c>
      <c r="D4" s="2">
        <v>3</v>
      </c>
      <c r="E4" s="2">
        <v>1</v>
      </c>
      <c r="F4" s="2">
        <v>0</v>
      </c>
      <c r="G4" s="2">
        <v>3</v>
      </c>
      <c r="H4" s="2">
        <v>149</v>
      </c>
      <c r="I4" s="2">
        <f t="shared" si="1"/>
        <v>145</v>
      </c>
      <c r="K4" s="15">
        <f>K3/(AVERAGE(H2:H7))</f>
        <v>1</v>
      </c>
      <c r="L4" s="2">
        <f t="shared" si="2"/>
        <v>3828000</v>
      </c>
      <c r="M4" s="13">
        <f t="shared" si="0"/>
        <v>957</v>
      </c>
      <c r="O4" s="2">
        <f t="shared" si="3"/>
        <v>97.31543624161074</v>
      </c>
    </row>
    <row r="5" spans="1:17" s="2" customFormat="1">
      <c r="A5" s="2" t="s">
        <v>14</v>
      </c>
      <c r="C5" s="2">
        <v>280</v>
      </c>
      <c r="D5" s="2">
        <v>1</v>
      </c>
      <c r="E5" s="2">
        <v>4</v>
      </c>
      <c r="F5" s="2">
        <v>3</v>
      </c>
      <c r="G5" s="2">
        <v>4</v>
      </c>
      <c r="H5" s="2">
        <v>189</v>
      </c>
      <c r="I5" s="2">
        <f t="shared" si="1"/>
        <v>181</v>
      </c>
      <c r="J5" s="2">
        <f>AVERAGE(H4:H5)</f>
        <v>169</v>
      </c>
      <c r="L5" s="2">
        <f t="shared" si="2"/>
        <v>4857599.9999999991</v>
      </c>
      <c r="M5" s="13">
        <f t="shared" si="0"/>
        <v>1214.3999999999999</v>
      </c>
      <c r="N5" s="2">
        <f>AVERAGE(M4:M5)</f>
        <v>1085.6999999999998</v>
      </c>
      <c r="O5" s="2">
        <f t="shared" si="3"/>
        <v>95.767195767195773</v>
      </c>
      <c r="Q5" s="2" t="s">
        <v>25</v>
      </c>
    </row>
    <row r="6" spans="1:17" s="2" customFormat="1">
      <c r="A6" s="2" t="s">
        <v>15</v>
      </c>
      <c r="B6" s="7">
        <v>0.4548611111111111</v>
      </c>
      <c r="C6" s="2">
        <v>280</v>
      </c>
      <c r="D6" s="2">
        <v>4</v>
      </c>
      <c r="E6" s="2">
        <v>2</v>
      </c>
      <c r="F6" s="2">
        <v>0</v>
      </c>
      <c r="G6" s="2">
        <v>1</v>
      </c>
      <c r="H6" s="2">
        <v>170</v>
      </c>
      <c r="I6" s="2">
        <f t="shared" si="1"/>
        <v>164</v>
      </c>
      <c r="L6" s="2">
        <f t="shared" si="2"/>
        <v>4329599.9999999991</v>
      </c>
      <c r="M6" s="13">
        <f t="shared" si="0"/>
        <v>1082.3999999999999</v>
      </c>
      <c r="O6" s="2">
        <f t="shared" si="3"/>
        <v>96.470588235294116</v>
      </c>
    </row>
    <row r="7" spans="1:17" s="2" customFormat="1">
      <c r="A7" s="2" t="s">
        <v>15</v>
      </c>
      <c r="C7" s="2">
        <v>280</v>
      </c>
      <c r="D7" s="2">
        <v>5</v>
      </c>
      <c r="E7" s="2">
        <v>2</v>
      </c>
      <c r="F7" s="2">
        <v>3</v>
      </c>
      <c r="G7" s="2">
        <v>3</v>
      </c>
      <c r="H7" s="2">
        <v>236</v>
      </c>
      <c r="I7" s="2">
        <f t="shared" si="1"/>
        <v>226</v>
      </c>
      <c r="J7" s="2">
        <f>AVERAGE(H6:H7)</f>
        <v>203</v>
      </c>
      <c r="L7" s="2">
        <f t="shared" si="2"/>
        <v>6045599.9999999991</v>
      </c>
      <c r="M7" s="13">
        <f t="shared" si="0"/>
        <v>1511.3999999999999</v>
      </c>
      <c r="N7" s="2">
        <f>AVERAGE(M6:M7)</f>
        <v>1296.8999999999999</v>
      </c>
      <c r="O7" s="2">
        <f t="shared" si="3"/>
        <v>95.762711864406782</v>
      </c>
      <c r="Q7" s="2" t="s">
        <v>26</v>
      </c>
    </row>
    <row r="8" spans="1:17" s="3" customFormat="1">
      <c r="A8" s="3" t="s">
        <v>10</v>
      </c>
      <c r="B8" s="4">
        <v>0.41666666666666669</v>
      </c>
      <c r="C8" s="3">
        <v>400</v>
      </c>
      <c r="D8" s="3">
        <v>2</v>
      </c>
      <c r="E8" s="3">
        <v>1</v>
      </c>
      <c r="F8" s="3">
        <v>2</v>
      </c>
      <c r="G8" s="3">
        <v>0</v>
      </c>
      <c r="H8" s="3">
        <v>106</v>
      </c>
      <c r="I8" s="3">
        <f>106-(D8+E8+F8)</f>
        <v>101</v>
      </c>
      <c r="K8" s="3">
        <f>AVERAGE(J9,J11,J13)</f>
        <v>153.33333333333334</v>
      </c>
      <c r="L8" s="3">
        <f t="shared" si="2"/>
        <v>2719200</v>
      </c>
      <c r="M8" s="14">
        <f t="shared" si="0"/>
        <v>679.8</v>
      </c>
      <c r="N8" s="9">
        <f>AVERAGE(M8:M13)</f>
        <v>988.9</v>
      </c>
      <c r="O8" s="3">
        <f t="shared" si="3"/>
        <v>95.283018867924525</v>
      </c>
      <c r="P8" s="3">
        <f>AVERAGE(O8:O13)</f>
        <v>96.089506791157746</v>
      </c>
      <c r="Q8" s="3">
        <v>0</v>
      </c>
    </row>
    <row r="9" spans="1:17" s="3" customFormat="1">
      <c r="A9" s="3" t="s">
        <v>10</v>
      </c>
      <c r="C9" s="3">
        <v>400</v>
      </c>
      <c r="D9" s="3">
        <v>1</v>
      </c>
      <c r="E9" s="3">
        <v>2</v>
      </c>
      <c r="F9" s="3">
        <v>3</v>
      </c>
      <c r="G9" s="3">
        <v>1</v>
      </c>
      <c r="H9" s="3">
        <v>112</v>
      </c>
      <c r="I9" s="3">
        <f>112-(D9+E9+F9)</f>
        <v>106</v>
      </c>
      <c r="J9" s="3">
        <f>AVERAGE(H8:H9)</f>
        <v>109</v>
      </c>
      <c r="K9" s="15">
        <f>K8/(AVERAGE(H7:H12))</f>
        <v>1.0256410256410258</v>
      </c>
      <c r="L9" s="3">
        <f t="shared" si="2"/>
        <v>2877600</v>
      </c>
      <c r="M9" s="14">
        <f t="shared" si="0"/>
        <v>719.4</v>
      </c>
      <c r="N9" s="3">
        <f>AVERAGE(M8:M9)</f>
        <v>699.59999999999991</v>
      </c>
      <c r="O9" s="3">
        <f t="shared" si="3"/>
        <v>94.642857142857139</v>
      </c>
      <c r="Q9" s="3">
        <v>0</v>
      </c>
    </row>
    <row r="10" spans="1:17" s="3" customFormat="1">
      <c r="A10" s="3" t="s">
        <v>11</v>
      </c>
      <c r="B10" s="4">
        <v>0.44444444444444442</v>
      </c>
      <c r="C10" s="3">
        <v>400</v>
      </c>
      <c r="D10" s="3">
        <v>2</v>
      </c>
      <c r="E10" s="3">
        <v>1</v>
      </c>
      <c r="F10" s="3">
        <v>1</v>
      </c>
      <c r="G10" s="3">
        <v>1</v>
      </c>
      <c r="H10" s="3">
        <v>111</v>
      </c>
      <c r="I10" s="3">
        <f>H10-(D10+E10+F10)</f>
        <v>107</v>
      </c>
      <c r="L10" s="3">
        <f t="shared" si="2"/>
        <v>2851200</v>
      </c>
      <c r="M10" s="14">
        <f t="shared" si="0"/>
        <v>712.8</v>
      </c>
      <c r="O10" s="3">
        <f t="shared" si="3"/>
        <v>96.396396396396398</v>
      </c>
      <c r="Q10" s="3">
        <v>0</v>
      </c>
    </row>
    <row r="11" spans="1:17" s="3" customFormat="1">
      <c r="A11" s="3" t="s">
        <v>11</v>
      </c>
      <c r="C11" s="3">
        <v>400</v>
      </c>
      <c r="D11" s="3">
        <v>3</v>
      </c>
      <c r="E11" s="3">
        <v>2</v>
      </c>
      <c r="F11" s="3">
        <v>0</v>
      </c>
      <c r="G11" s="3">
        <v>4</v>
      </c>
      <c r="H11" s="3">
        <v>140</v>
      </c>
      <c r="I11" s="3">
        <f>H11-(D11+E11+F11)</f>
        <v>135</v>
      </c>
      <c r="J11" s="3">
        <f>AVERAGE(H10:H11)</f>
        <v>125.5</v>
      </c>
      <c r="L11" s="3">
        <f t="shared" si="2"/>
        <v>3564000</v>
      </c>
      <c r="M11" s="14">
        <f t="shared" si="0"/>
        <v>891</v>
      </c>
      <c r="N11" s="3">
        <f>AVERAGE(M10:M11)</f>
        <v>801.9</v>
      </c>
      <c r="O11" s="3">
        <f t="shared" si="3"/>
        <v>96.428571428571431</v>
      </c>
      <c r="Q11" s="3">
        <v>0</v>
      </c>
    </row>
    <row r="12" spans="1:17" s="3" customFormat="1">
      <c r="A12" s="3" t="s">
        <v>12</v>
      </c>
      <c r="B12" s="4">
        <v>0.46180555555555558</v>
      </c>
      <c r="C12" s="3">
        <v>400</v>
      </c>
      <c r="D12" s="3">
        <v>0</v>
      </c>
      <c r="E12" s="3">
        <v>4</v>
      </c>
      <c r="F12" s="3">
        <v>2</v>
      </c>
      <c r="G12" s="3">
        <v>5</v>
      </c>
      <c r="H12" s="3">
        <v>192</v>
      </c>
      <c r="I12" s="3">
        <f>H12-(D12+E12+F12)</f>
        <v>186</v>
      </c>
      <c r="L12" s="3">
        <f t="shared" si="2"/>
        <v>4963200</v>
      </c>
      <c r="M12" s="14">
        <f t="shared" si="0"/>
        <v>1240.8</v>
      </c>
      <c r="O12" s="3">
        <f t="shared" si="3"/>
        <v>96.875</v>
      </c>
    </row>
    <row r="13" spans="1:17" s="3" customFormat="1">
      <c r="A13" s="3" t="s">
        <v>12</v>
      </c>
      <c r="C13" s="3">
        <v>400</v>
      </c>
      <c r="D13" s="3">
        <v>0</v>
      </c>
      <c r="E13" s="3">
        <v>3</v>
      </c>
      <c r="F13" s="3">
        <v>5</v>
      </c>
      <c r="G13" s="3">
        <v>4</v>
      </c>
      <c r="H13" s="3">
        <v>259</v>
      </c>
      <c r="I13" s="3">
        <f>H13-(D13+E13+F13)</f>
        <v>251</v>
      </c>
      <c r="J13" s="3">
        <f>AVERAGE(H12:H13)</f>
        <v>225.5</v>
      </c>
      <c r="L13" s="3">
        <f t="shared" si="2"/>
        <v>6758400</v>
      </c>
      <c r="M13" s="14">
        <f t="shared" si="0"/>
        <v>1689.6</v>
      </c>
      <c r="N13" s="3">
        <f>AVERAGE(M12:M13)</f>
        <v>1465.1999999999998</v>
      </c>
      <c r="O13" s="3">
        <f t="shared" si="3"/>
        <v>96.91119691119691</v>
      </c>
      <c r="Q13" s="3" t="s">
        <v>24</v>
      </c>
    </row>
    <row r="14" spans="1:17" s="5" customFormat="1">
      <c r="A14" s="5" t="s">
        <v>16</v>
      </c>
      <c r="B14" s="6">
        <v>0.40277777777777773</v>
      </c>
      <c r="C14" s="5">
        <v>1000</v>
      </c>
      <c r="D14" s="5">
        <v>1</v>
      </c>
      <c r="E14" s="5">
        <v>4</v>
      </c>
      <c r="F14" s="5">
        <v>9</v>
      </c>
      <c r="G14" s="5">
        <v>0</v>
      </c>
      <c r="H14" s="5">
        <v>182</v>
      </c>
      <c r="I14" s="5">
        <f t="shared" ref="I14:I19" si="4">H14-(D14+E14+F14)</f>
        <v>168</v>
      </c>
      <c r="L14" s="2">
        <f t="shared" si="2"/>
        <v>4672800</v>
      </c>
      <c r="M14" s="11">
        <f t="shared" ref="M14:M19" si="5">L14/4000</f>
        <v>1168.2</v>
      </c>
      <c r="N14" s="10">
        <f>AVERAGE(M14:M19)</f>
        <v>1107.6999999999998</v>
      </c>
      <c r="O14" s="5">
        <f t="shared" si="3"/>
        <v>92.307692307692307</v>
      </c>
      <c r="P14" s="5">
        <f>AVERAGE(O14:O19)</f>
        <v>96.207905409396403</v>
      </c>
    </row>
    <row r="15" spans="1:17" s="5" customFormat="1">
      <c r="A15" s="5" t="s">
        <v>16</v>
      </c>
      <c r="C15" s="5">
        <v>1000</v>
      </c>
      <c r="D15" s="5">
        <v>5</v>
      </c>
      <c r="E15" s="5">
        <v>1</v>
      </c>
      <c r="F15" s="5">
        <v>0</v>
      </c>
      <c r="G15" s="5">
        <v>1</v>
      </c>
      <c r="H15" s="5">
        <v>168</v>
      </c>
      <c r="I15" s="5">
        <f t="shared" si="4"/>
        <v>162</v>
      </c>
      <c r="J15" s="5">
        <f>AVERAGE(H14:H15)</f>
        <v>175</v>
      </c>
      <c r="K15" s="5">
        <f>AVERAGE(J15,J17,J19)</f>
        <v>171.33333333333334</v>
      </c>
      <c r="L15" s="2">
        <f t="shared" si="2"/>
        <v>4276800</v>
      </c>
      <c r="M15" s="11">
        <f t="shared" si="5"/>
        <v>1069.2</v>
      </c>
      <c r="N15" s="5">
        <f>AVERAGE(M14:M15)</f>
        <v>1118.7</v>
      </c>
      <c r="O15" s="5">
        <f t="shared" si="3"/>
        <v>96.428571428571431</v>
      </c>
      <c r="Q15" s="5" t="s">
        <v>27</v>
      </c>
    </row>
    <row r="16" spans="1:17" s="5" customFormat="1">
      <c r="A16" s="5" t="s">
        <v>17</v>
      </c>
      <c r="B16" s="6">
        <v>0.42708333333333331</v>
      </c>
      <c r="C16" s="5">
        <v>1000</v>
      </c>
      <c r="D16" s="5">
        <v>2</v>
      </c>
      <c r="E16" s="5">
        <v>0</v>
      </c>
      <c r="F16" s="5">
        <v>3</v>
      </c>
      <c r="G16" s="5">
        <v>4</v>
      </c>
      <c r="H16" s="5">
        <v>148</v>
      </c>
      <c r="I16" s="5">
        <f t="shared" si="4"/>
        <v>143</v>
      </c>
      <c r="K16" s="15">
        <f>K15/(AVERAGE(H14:H19))</f>
        <v>1</v>
      </c>
      <c r="L16" s="2">
        <f t="shared" si="2"/>
        <v>3854399.9999999995</v>
      </c>
      <c r="M16" s="11">
        <f t="shared" si="5"/>
        <v>963.59999999999991</v>
      </c>
      <c r="O16" s="5">
        <f t="shared" si="3"/>
        <v>96.621621621621628</v>
      </c>
    </row>
    <row r="17" spans="1:17" s="5" customFormat="1">
      <c r="A17" s="5" t="s">
        <v>17</v>
      </c>
      <c r="C17" s="5">
        <v>1000</v>
      </c>
      <c r="D17" s="5">
        <v>1</v>
      </c>
      <c r="E17" s="5">
        <v>1</v>
      </c>
      <c r="F17" s="5">
        <v>2</v>
      </c>
      <c r="G17" s="5">
        <v>4</v>
      </c>
      <c r="H17" s="5">
        <v>171</v>
      </c>
      <c r="I17" s="5">
        <f t="shared" si="4"/>
        <v>167</v>
      </c>
      <c r="J17" s="5">
        <f>AVERAGE(H16:H17)</f>
        <v>159.5</v>
      </c>
      <c r="L17" s="2">
        <f t="shared" si="2"/>
        <v>4461599.9999999991</v>
      </c>
      <c r="M17" s="11">
        <f t="shared" si="5"/>
        <v>1115.3999999999999</v>
      </c>
      <c r="N17" s="5">
        <f>AVERAGE(M16:M17)</f>
        <v>1039.5</v>
      </c>
      <c r="O17" s="5">
        <f t="shared" si="3"/>
        <v>97.660818713450297</v>
      </c>
      <c r="Q17" s="5" t="s">
        <v>28</v>
      </c>
    </row>
    <row r="18" spans="1:17" s="5" customFormat="1">
      <c r="A18" s="5" t="s">
        <v>18</v>
      </c>
      <c r="B18" s="6">
        <v>0.45</v>
      </c>
      <c r="C18" s="5">
        <v>1000</v>
      </c>
      <c r="D18" s="5">
        <v>2</v>
      </c>
      <c r="E18" s="5">
        <v>2</v>
      </c>
      <c r="F18" s="5">
        <v>3</v>
      </c>
      <c r="G18" s="5">
        <v>1</v>
      </c>
      <c r="H18" s="5">
        <v>166</v>
      </c>
      <c r="I18" s="5">
        <f t="shared" si="4"/>
        <v>159</v>
      </c>
      <c r="L18" s="2">
        <f t="shared" si="2"/>
        <v>4276800</v>
      </c>
      <c r="M18" s="11">
        <f t="shared" si="5"/>
        <v>1069.2</v>
      </c>
      <c r="O18" s="5">
        <f t="shared" si="3"/>
        <v>95.783132530120483</v>
      </c>
    </row>
    <row r="19" spans="1:17" s="5" customFormat="1">
      <c r="A19" s="5" t="s">
        <v>18</v>
      </c>
      <c r="C19" s="5">
        <v>1000</v>
      </c>
      <c r="D19" s="5">
        <v>2</v>
      </c>
      <c r="E19" s="5">
        <v>0</v>
      </c>
      <c r="F19" s="5">
        <v>1</v>
      </c>
      <c r="G19" s="5">
        <v>6</v>
      </c>
      <c r="H19" s="5">
        <v>193</v>
      </c>
      <c r="I19" s="5">
        <f t="shared" si="4"/>
        <v>190</v>
      </c>
      <c r="J19" s="5">
        <f>AVERAGE(H18:H19)</f>
        <v>179.5</v>
      </c>
      <c r="L19" s="2">
        <f t="shared" si="2"/>
        <v>5042400</v>
      </c>
      <c r="M19" s="11">
        <f t="shared" si="5"/>
        <v>1260.5999999999999</v>
      </c>
      <c r="N19" s="5">
        <f>AVERAGE(M18:M19)</f>
        <v>1164.9000000000001</v>
      </c>
      <c r="O19" s="5">
        <f t="shared" si="3"/>
        <v>98.445595854922274</v>
      </c>
      <c r="Q19" s="5" t="s">
        <v>29</v>
      </c>
    </row>
    <row r="21" spans="1:17">
      <c r="L21" s="5"/>
    </row>
    <row r="22" spans="1:17">
      <c r="A22" t="s">
        <v>39</v>
      </c>
    </row>
    <row r="23" spans="1:17">
      <c r="A23" t="s">
        <v>41</v>
      </c>
      <c r="E23">
        <f>89/E25</f>
        <v>2373.3333333333335</v>
      </c>
      <c r="G23" t="s">
        <v>58</v>
      </c>
    </row>
    <row r="24" spans="1:17">
      <c r="A24" t="s">
        <v>40</v>
      </c>
    </row>
    <row r="25" spans="1:17">
      <c r="E25">
        <f>150/4000</f>
        <v>3.7499999999999999E-2</v>
      </c>
    </row>
    <row r="27" spans="1:17">
      <c r="A27" t="s">
        <v>42</v>
      </c>
    </row>
    <row r="29" spans="1:17">
      <c r="A29" t="s">
        <v>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tabSelected="1" topLeftCell="G1" workbookViewId="0">
      <selection activeCell="V15" sqref="V15"/>
    </sheetView>
  </sheetViews>
  <sheetFormatPr baseColWidth="10" defaultColWidth="11" defaultRowHeight="15" x14ac:dyDescent="0"/>
  <sheetData>
    <row r="1" spans="1:22">
      <c r="E1" s="16" t="s">
        <v>30</v>
      </c>
      <c r="F1" s="16"/>
      <c r="G1" s="16"/>
      <c r="H1" s="16"/>
      <c r="I1" s="16" t="s">
        <v>31</v>
      </c>
      <c r="J1" s="16"/>
      <c r="K1" s="16"/>
      <c r="L1" s="16"/>
    </row>
    <row r="2" spans="1:22" ht="45">
      <c r="A2" s="1" t="s">
        <v>0</v>
      </c>
      <c r="B2" s="1" t="s">
        <v>19</v>
      </c>
      <c r="C2" s="1" t="s">
        <v>1</v>
      </c>
      <c r="D2" s="1" t="s">
        <v>2</v>
      </c>
      <c r="E2" s="1" t="s">
        <v>4</v>
      </c>
      <c r="F2" s="1" t="s">
        <v>5</v>
      </c>
      <c r="G2" s="1" t="s">
        <v>22</v>
      </c>
      <c r="H2" s="1" t="s">
        <v>6</v>
      </c>
      <c r="I2" s="1" t="s">
        <v>4</v>
      </c>
      <c r="J2" s="1" t="s">
        <v>5</v>
      </c>
      <c r="K2" s="1" t="s">
        <v>22</v>
      </c>
      <c r="L2" s="1" t="s">
        <v>6</v>
      </c>
      <c r="M2" s="1" t="s">
        <v>23</v>
      </c>
      <c r="N2" s="1" t="s">
        <v>55</v>
      </c>
      <c r="O2" s="1" t="s">
        <v>7</v>
      </c>
      <c r="P2" s="1" t="s">
        <v>8</v>
      </c>
      <c r="Q2" s="1" t="s">
        <v>21</v>
      </c>
      <c r="R2" s="1" t="s">
        <v>34</v>
      </c>
      <c r="S2" s="1" t="s">
        <v>35</v>
      </c>
      <c r="T2" s="1" t="s">
        <v>36</v>
      </c>
      <c r="U2" s="1" t="s">
        <v>50</v>
      </c>
    </row>
    <row r="3" spans="1:22" s="5" customFormat="1">
      <c r="A3" s="5" t="s">
        <v>16</v>
      </c>
      <c r="C3" s="5">
        <v>1000</v>
      </c>
      <c r="D3" s="5">
        <v>0</v>
      </c>
      <c r="E3" s="5">
        <v>0</v>
      </c>
      <c r="F3" s="5">
        <v>1</v>
      </c>
      <c r="G3" s="5">
        <v>1</v>
      </c>
      <c r="H3" s="5">
        <f>SUM(E3:G3)</f>
        <v>2</v>
      </c>
      <c r="I3" s="5">
        <v>0</v>
      </c>
      <c r="J3" s="5">
        <v>0</v>
      </c>
      <c r="K3" s="5">
        <v>1</v>
      </c>
      <c r="L3" s="5">
        <v>48</v>
      </c>
      <c r="M3" s="5">
        <f>(L3-J3-I3)+H3-F3-E3</f>
        <v>49</v>
      </c>
      <c r="N3" s="5">
        <f>L3+H3</f>
        <v>50</v>
      </c>
      <c r="O3" s="5">
        <f>(4000*P3)</f>
        <v>1320000</v>
      </c>
      <c r="P3" s="11">
        <f>N3*6.6</f>
        <v>330</v>
      </c>
      <c r="Q3" s="11">
        <f>AVERAGE(P3:P8)</f>
        <v>200.20000000000002</v>
      </c>
      <c r="R3" s="5">
        <v>10</v>
      </c>
      <c r="S3" s="5">
        <v>27</v>
      </c>
      <c r="T3" s="5">
        <v>38</v>
      </c>
      <c r="U3" s="5">
        <f>T3/(SUM(R3:T3))</f>
        <v>0.50666666666666671</v>
      </c>
      <c r="V3" s="5">
        <f>AVERAGE(U3:U8)</f>
        <v>0.21966819901804424</v>
      </c>
    </row>
    <row r="4" spans="1:22" s="5" customFormat="1">
      <c r="A4" s="5" t="s">
        <v>16</v>
      </c>
      <c r="C4" s="5">
        <v>1000</v>
      </c>
      <c r="D4" s="5">
        <v>0</v>
      </c>
      <c r="E4" s="5">
        <v>2</v>
      </c>
      <c r="F4" s="5">
        <v>0</v>
      </c>
      <c r="G4" s="5">
        <v>1</v>
      </c>
      <c r="H4" s="5">
        <f t="shared" ref="H4:H20" si="0">SUM(E4:G4)</f>
        <v>3</v>
      </c>
      <c r="I4" s="5">
        <v>0</v>
      </c>
      <c r="J4" s="5">
        <v>0</v>
      </c>
      <c r="K4" s="5">
        <v>0</v>
      </c>
      <c r="L4" s="5">
        <v>61</v>
      </c>
      <c r="M4" s="5">
        <f t="shared" ref="M4:M20" si="1">(L4-J4-I4)+H4-F4-E4</f>
        <v>62</v>
      </c>
      <c r="N4" s="5">
        <f t="shared" ref="N4:N20" si="2">L4+H4</f>
        <v>64</v>
      </c>
      <c r="O4" s="5">
        <f t="shared" ref="O4:O20" si="3">(4000*P4)</f>
        <v>1689600</v>
      </c>
      <c r="P4" s="11">
        <f t="shared" ref="P4:P20" si="4">N4*6.6</f>
        <v>422.4</v>
      </c>
      <c r="R4" s="5">
        <v>8</v>
      </c>
      <c r="S4" s="5">
        <v>38</v>
      </c>
      <c r="T4" s="5">
        <v>11</v>
      </c>
      <c r="U4" s="5">
        <f t="shared" ref="U4" si="5">T4/(SUM(R4:T4))</f>
        <v>0.19298245614035087</v>
      </c>
    </row>
    <row r="5" spans="1:22" s="5" customFormat="1">
      <c r="A5" s="5" t="s">
        <v>17</v>
      </c>
      <c r="C5" s="5">
        <v>1000</v>
      </c>
      <c r="D5" s="5">
        <v>0</v>
      </c>
      <c r="E5" s="5">
        <v>3</v>
      </c>
      <c r="F5" s="5">
        <v>0</v>
      </c>
      <c r="G5" s="5">
        <v>0</v>
      </c>
      <c r="H5" s="5">
        <f t="shared" si="0"/>
        <v>3</v>
      </c>
      <c r="I5" s="5">
        <v>1</v>
      </c>
      <c r="J5" s="5">
        <v>2</v>
      </c>
      <c r="K5" s="5">
        <v>1</v>
      </c>
      <c r="L5" s="5">
        <v>18</v>
      </c>
      <c r="M5" s="5">
        <f t="shared" si="1"/>
        <v>15</v>
      </c>
      <c r="N5" s="5">
        <f t="shared" si="2"/>
        <v>21</v>
      </c>
      <c r="O5" s="5">
        <f t="shared" si="3"/>
        <v>554400</v>
      </c>
      <c r="P5" s="11">
        <f t="shared" si="4"/>
        <v>138.6</v>
      </c>
      <c r="R5" s="5">
        <v>1</v>
      </c>
      <c r="S5" s="5">
        <v>11</v>
      </c>
      <c r="T5" s="5">
        <v>5</v>
      </c>
      <c r="U5" s="5">
        <f t="shared" ref="U5:U20" si="6">T5/(SUM(R5:T5))</f>
        <v>0.29411764705882354</v>
      </c>
    </row>
    <row r="6" spans="1:22" s="5" customFormat="1">
      <c r="A6" s="5" t="s">
        <v>17</v>
      </c>
      <c r="C6" s="5">
        <v>1000</v>
      </c>
      <c r="D6" s="5">
        <v>1</v>
      </c>
      <c r="E6" s="5">
        <v>2</v>
      </c>
      <c r="F6" s="5">
        <v>0</v>
      </c>
      <c r="G6" s="5">
        <v>0</v>
      </c>
      <c r="H6" s="5">
        <f t="shared" si="0"/>
        <v>2</v>
      </c>
      <c r="I6" s="5">
        <v>0</v>
      </c>
      <c r="J6" s="5">
        <v>0</v>
      </c>
      <c r="K6" s="5">
        <v>0</v>
      </c>
      <c r="L6" s="5">
        <v>25</v>
      </c>
      <c r="M6" s="5">
        <f t="shared" si="1"/>
        <v>25</v>
      </c>
      <c r="N6" s="5">
        <f t="shared" si="2"/>
        <v>27</v>
      </c>
      <c r="O6" s="5">
        <f t="shared" si="3"/>
        <v>712800</v>
      </c>
      <c r="P6" s="11">
        <f t="shared" si="4"/>
        <v>178.2</v>
      </c>
      <c r="R6" s="5">
        <v>12</v>
      </c>
      <c r="S6" s="5">
        <v>11</v>
      </c>
      <c r="T6" s="5">
        <v>7</v>
      </c>
      <c r="U6" s="5">
        <f t="shared" si="6"/>
        <v>0.23333333333333334</v>
      </c>
    </row>
    <row r="7" spans="1:22" s="5" customFormat="1">
      <c r="A7" s="5" t="s">
        <v>18</v>
      </c>
      <c r="C7" s="5">
        <v>1000</v>
      </c>
      <c r="D7" s="5">
        <v>0</v>
      </c>
      <c r="E7" s="5">
        <v>0</v>
      </c>
      <c r="F7" s="5">
        <v>0</v>
      </c>
      <c r="G7" s="5">
        <v>0</v>
      </c>
      <c r="H7" s="5">
        <f t="shared" si="0"/>
        <v>0</v>
      </c>
      <c r="I7" s="5">
        <v>0</v>
      </c>
      <c r="J7" s="5">
        <v>0</v>
      </c>
      <c r="K7" s="5">
        <v>3</v>
      </c>
      <c r="L7" s="5">
        <v>8</v>
      </c>
      <c r="M7" s="5">
        <f t="shared" si="1"/>
        <v>8</v>
      </c>
      <c r="N7" s="5">
        <f t="shared" si="2"/>
        <v>8</v>
      </c>
      <c r="O7" s="5">
        <f t="shared" si="3"/>
        <v>211200</v>
      </c>
      <c r="P7" s="11">
        <f t="shared" si="4"/>
        <v>52.8</v>
      </c>
      <c r="R7" s="5">
        <v>3</v>
      </c>
      <c r="S7" s="5">
        <v>5</v>
      </c>
      <c r="T7" s="5">
        <v>0</v>
      </c>
      <c r="U7" s="5">
        <f t="shared" si="6"/>
        <v>0</v>
      </c>
    </row>
    <row r="8" spans="1:22" s="5" customFormat="1">
      <c r="A8" s="5" t="s">
        <v>18</v>
      </c>
      <c r="C8" s="5">
        <v>1000</v>
      </c>
      <c r="D8" s="5">
        <v>0</v>
      </c>
      <c r="E8" s="5">
        <v>0</v>
      </c>
      <c r="F8" s="5">
        <v>1</v>
      </c>
      <c r="G8" s="5">
        <v>0</v>
      </c>
      <c r="H8" s="5">
        <f t="shared" si="0"/>
        <v>1</v>
      </c>
      <c r="I8" s="5">
        <v>0</v>
      </c>
      <c r="J8" s="5">
        <v>0</v>
      </c>
      <c r="K8" s="5">
        <v>1</v>
      </c>
      <c r="L8" s="5">
        <v>11</v>
      </c>
      <c r="M8" s="5">
        <f t="shared" si="1"/>
        <v>11</v>
      </c>
      <c r="N8" s="5">
        <f t="shared" si="2"/>
        <v>12</v>
      </c>
      <c r="O8" s="5">
        <f t="shared" si="3"/>
        <v>316799.99999999994</v>
      </c>
      <c r="P8" s="11">
        <f t="shared" si="4"/>
        <v>79.199999999999989</v>
      </c>
      <c r="R8" s="5">
        <v>3</v>
      </c>
      <c r="S8" s="5">
        <v>7</v>
      </c>
      <c r="T8" s="5">
        <v>1</v>
      </c>
      <c r="U8" s="5">
        <f t="shared" si="6"/>
        <v>9.0909090909090912E-2</v>
      </c>
    </row>
    <row r="9" spans="1:22" s="3" customFormat="1">
      <c r="A9" s="3" t="s">
        <v>33</v>
      </c>
      <c r="C9" s="3">
        <v>400</v>
      </c>
      <c r="D9" s="3">
        <v>0</v>
      </c>
      <c r="E9" s="3">
        <v>0</v>
      </c>
      <c r="F9" s="3">
        <v>0</v>
      </c>
      <c r="G9" s="3">
        <v>0</v>
      </c>
      <c r="H9" s="3">
        <f t="shared" si="0"/>
        <v>0</v>
      </c>
      <c r="I9" s="3">
        <v>1</v>
      </c>
      <c r="J9" s="3">
        <v>0</v>
      </c>
      <c r="K9" s="3">
        <v>1</v>
      </c>
      <c r="L9" s="3">
        <v>14</v>
      </c>
      <c r="M9" s="3">
        <f t="shared" si="1"/>
        <v>13</v>
      </c>
      <c r="N9" s="3">
        <f t="shared" si="2"/>
        <v>14</v>
      </c>
      <c r="O9" s="3">
        <f t="shared" si="3"/>
        <v>369599.99999999994</v>
      </c>
      <c r="P9" s="14">
        <f t="shared" si="4"/>
        <v>92.399999999999991</v>
      </c>
      <c r="Q9" s="3">
        <f>AVERAGE(P9:P14)</f>
        <v>63.79999999999999</v>
      </c>
      <c r="R9" s="3">
        <v>4</v>
      </c>
      <c r="S9" s="3">
        <v>8</v>
      </c>
      <c r="T9" s="3">
        <v>12</v>
      </c>
      <c r="U9" s="3">
        <f t="shared" si="6"/>
        <v>0.5</v>
      </c>
      <c r="V9" s="5">
        <f>AVERAGE(U9:U14)</f>
        <v>0.37582972582972579</v>
      </c>
    </row>
    <row r="10" spans="1:22" s="3" customFormat="1">
      <c r="A10" s="3" t="s">
        <v>10</v>
      </c>
      <c r="C10" s="3">
        <v>400</v>
      </c>
      <c r="D10" s="3">
        <v>0</v>
      </c>
      <c r="E10" s="3">
        <v>0</v>
      </c>
      <c r="F10" s="3">
        <v>0</v>
      </c>
      <c r="G10" s="3">
        <v>0</v>
      </c>
      <c r="H10" s="3">
        <f t="shared" si="0"/>
        <v>0</v>
      </c>
      <c r="I10" s="3">
        <v>0</v>
      </c>
      <c r="J10" s="3">
        <v>1</v>
      </c>
      <c r="K10" s="3">
        <v>0</v>
      </c>
      <c r="L10" s="3">
        <v>17</v>
      </c>
      <c r="M10" s="3">
        <f t="shared" si="1"/>
        <v>16</v>
      </c>
      <c r="N10" s="3">
        <f t="shared" si="2"/>
        <v>17</v>
      </c>
      <c r="O10" s="3">
        <f t="shared" si="3"/>
        <v>448799.99999999994</v>
      </c>
      <c r="P10" s="14">
        <f t="shared" si="4"/>
        <v>112.19999999999999</v>
      </c>
      <c r="R10" s="3">
        <v>0</v>
      </c>
      <c r="S10" s="3">
        <v>5</v>
      </c>
      <c r="T10" s="3">
        <v>6</v>
      </c>
      <c r="U10" s="3">
        <f t="shared" si="6"/>
        <v>0.54545454545454541</v>
      </c>
    </row>
    <row r="11" spans="1:22" s="3" customFormat="1">
      <c r="A11" s="3" t="s">
        <v>11</v>
      </c>
      <c r="C11" s="3">
        <v>400</v>
      </c>
      <c r="D11" s="3">
        <v>0</v>
      </c>
      <c r="E11" s="3">
        <v>0</v>
      </c>
      <c r="F11" s="3">
        <v>0</v>
      </c>
      <c r="G11" s="3">
        <v>0</v>
      </c>
      <c r="H11" s="3">
        <f t="shared" si="0"/>
        <v>0</v>
      </c>
      <c r="I11" s="3">
        <v>0</v>
      </c>
      <c r="J11" s="3">
        <v>0</v>
      </c>
      <c r="K11" s="3">
        <v>0</v>
      </c>
      <c r="L11" s="3">
        <v>6</v>
      </c>
      <c r="M11" s="3">
        <f t="shared" si="1"/>
        <v>6</v>
      </c>
      <c r="N11" s="3">
        <f t="shared" si="2"/>
        <v>6</v>
      </c>
      <c r="O11" s="3">
        <f t="shared" si="3"/>
        <v>158399.99999999997</v>
      </c>
      <c r="P11" s="14">
        <f t="shared" si="4"/>
        <v>39.599999999999994</v>
      </c>
      <c r="R11" s="3">
        <v>1</v>
      </c>
      <c r="S11" s="3">
        <v>1</v>
      </c>
      <c r="T11" s="3">
        <v>4</v>
      </c>
      <c r="U11" s="3">
        <f t="shared" si="6"/>
        <v>0.66666666666666663</v>
      </c>
    </row>
    <row r="12" spans="1:22" s="3" customFormat="1">
      <c r="A12" s="3" t="s">
        <v>11</v>
      </c>
      <c r="C12" s="3">
        <v>400</v>
      </c>
      <c r="D12" s="3">
        <v>0</v>
      </c>
      <c r="E12" s="3">
        <v>0</v>
      </c>
      <c r="F12" s="3">
        <v>0</v>
      </c>
      <c r="G12" s="3">
        <v>1</v>
      </c>
      <c r="H12" s="3">
        <f t="shared" si="0"/>
        <v>1</v>
      </c>
      <c r="I12" s="3">
        <v>1</v>
      </c>
      <c r="J12" s="3">
        <v>2</v>
      </c>
      <c r="K12" s="3">
        <v>0</v>
      </c>
      <c r="L12" s="3">
        <v>7</v>
      </c>
      <c r="M12" s="3">
        <f t="shared" si="1"/>
        <v>5</v>
      </c>
      <c r="N12" s="3">
        <f t="shared" si="2"/>
        <v>8</v>
      </c>
      <c r="O12" s="3">
        <f t="shared" si="3"/>
        <v>211200</v>
      </c>
      <c r="P12" s="14">
        <f t="shared" si="4"/>
        <v>52.8</v>
      </c>
      <c r="R12" s="3">
        <v>4</v>
      </c>
      <c r="S12" s="3">
        <v>2</v>
      </c>
      <c r="T12" s="3">
        <v>1</v>
      </c>
      <c r="U12" s="3">
        <f t="shared" si="6"/>
        <v>0.14285714285714285</v>
      </c>
    </row>
    <row r="13" spans="1:22" s="3" customFormat="1">
      <c r="A13" s="3" t="s">
        <v>12</v>
      </c>
      <c r="C13" s="3">
        <v>400</v>
      </c>
      <c r="D13" s="3">
        <v>0</v>
      </c>
      <c r="E13" s="3">
        <v>0</v>
      </c>
      <c r="F13" s="3">
        <v>1</v>
      </c>
      <c r="G13" s="3">
        <v>0</v>
      </c>
      <c r="H13" s="3">
        <f t="shared" si="0"/>
        <v>1</v>
      </c>
      <c r="I13" s="3">
        <v>0</v>
      </c>
      <c r="J13" s="3">
        <v>0</v>
      </c>
      <c r="K13" s="3">
        <v>0</v>
      </c>
      <c r="L13" s="3">
        <v>2</v>
      </c>
      <c r="M13" s="3">
        <f t="shared" si="1"/>
        <v>2</v>
      </c>
      <c r="N13" s="3">
        <f t="shared" si="2"/>
        <v>3</v>
      </c>
      <c r="O13" s="3">
        <f t="shared" si="3"/>
        <v>79199.999999999985</v>
      </c>
      <c r="P13" s="14">
        <f t="shared" si="4"/>
        <v>19.799999999999997</v>
      </c>
      <c r="R13" s="3">
        <v>0</v>
      </c>
      <c r="S13" s="3">
        <v>3</v>
      </c>
      <c r="T13" s="3">
        <v>2</v>
      </c>
      <c r="U13" s="3">
        <f t="shared" si="6"/>
        <v>0.4</v>
      </c>
    </row>
    <row r="14" spans="1:22" s="3" customFormat="1">
      <c r="A14" s="3" t="s">
        <v>12</v>
      </c>
      <c r="C14" s="3">
        <v>400</v>
      </c>
      <c r="D14" s="3">
        <v>0</v>
      </c>
      <c r="E14" s="3">
        <v>0</v>
      </c>
      <c r="F14" s="3">
        <v>0</v>
      </c>
      <c r="G14" s="3">
        <v>0</v>
      </c>
      <c r="H14" s="3">
        <f t="shared" si="0"/>
        <v>0</v>
      </c>
      <c r="I14" s="3">
        <v>0</v>
      </c>
      <c r="J14" s="3">
        <v>1</v>
      </c>
      <c r="K14" s="3">
        <v>0</v>
      </c>
      <c r="L14" s="3">
        <v>10</v>
      </c>
      <c r="M14" s="3">
        <f t="shared" si="1"/>
        <v>9</v>
      </c>
      <c r="N14" s="3">
        <f t="shared" si="2"/>
        <v>10</v>
      </c>
      <c r="O14" s="3">
        <f t="shared" si="3"/>
        <v>264000</v>
      </c>
      <c r="P14" s="14">
        <f t="shared" si="4"/>
        <v>66</v>
      </c>
      <c r="R14" s="3">
        <v>7</v>
      </c>
      <c r="S14" s="3">
        <v>2</v>
      </c>
      <c r="T14" s="3">
        <v>0</v>
      </c>
      <c r="U14" s="3">
        <f t="shared" si="6"/>
        <v>0</v>
      </c>
    </row>
    <row r="15" spans="1:22" s="2" customFormat="1">
      <c r="A15" s="2" t="s">
        <v>13</v>
      </c>
      <c r="C15" s="2">
        <v>280</v>
      </c>
      <c r="D15" s="2">
        <v>0</v>
      </c>
      <c r="E15" s="2">
        <v>0</v>
      </c>
      <c r="F15" s="2">
        <v>0</v>
      </c>
      <c r="G15" s="2">
        <v>1</v>
      </c>
      <c r="H15" s="2">
        <f t="shared" si="0"/>
        <v>1</v>
      </c>
      <c r="I15" s="2">
        <v>0</v>
      </c>
      <c r="J15" s="2">
        <v>0</v>
      </c>
      <c r="K15" s="2">
        <v>0</v>
      </c>
      <c r="L15" s="2">
        <v>61</v>
      </c>
      <c r="M15" s="2">
        <f t="shared" si="1"/>
        <v>62</v>
      </c>
      <c r="N15" s="2">
        <f t="shared" si="2"/>
        <v>62</v>
      </c>
      <c r="O15" s="2">
        <f t="shared" si="3"/>
        <v>1636800</v>
      </c>
      <c r="P15" s="13">
        <f t="shared" si="4"/>
        <v>409.2</v>
      </c>
      <c r="Q15" s="2">
        <f>AVERAGE(P15:P20)</f>
        <v>374</v>
      </c>
      <c r="R15" s="2">
        <v>4</v>
      </c>
      <c r="S15" s="2">
        <v>27</v>
      </c>
      <c r="T15" s="2">
        <v>25</v>
      </c>
      <c r="U15" s="2">
        <f t="shared" si="6"/>
        <v>0.44642857142857145</v>
      </c>
      <c r="V15" s="5">
        <f>AVERAGE(U15:U20)</f>
        <v>0.48852453343811503</v>
      </c>
    </row>
    <row r="16" spans="1:22" s="2" customFormat="1">
      <c r="A16" s="2" t="s">
        <v>32</v>
      </c>
      <c r="C16" s="2">
        <v>280</v>
      </c>
      <c r="D16" s="2">
        <v>0</v>
      </c>
      <c r="E16" s="2">
        <v>8</v>
      </c>
      <c r="F16" s="2">
        <v>0</v>
      </c>
      <c r="G16" s="2">
        <v>0</v>
      </c>
      <c r="H16" s="2">
        <f t="shared" si="0"/>
        <v>8</v>
      </c>
      <c r="I16" s="2">
        <v>0</v>
      </c>
      <c r="J16" s="2">
        <v>1</v>
      </c>
      <c r="K16" s="2">
        <v>0</v>
      </c>
      <c r="L16" s="2">
        <v>117</v>
      </c>
      <c r="M16" s="2">
        <f t="shared" si="1"/>
        <v>116</v>
      </c>
      <c r="N16" s="2">
        <f t="shared" si="2"/>
        <v>125</v>
      </c>
      <c r="O16" s="2">
        <f t="shared" si="3"/>
        <v>3300000</v>
      </c>
      <c r="P16" s="13">
        <f t="shared" si="4"/>
        <v>825</v>
      </c>
      <c r="R16" s="2">
        <v>23</v>
      </c>
      <c r="S16" s="2">
        <v>22</v>
      </c>
      <c r="T16" s="2">
        <v>73</v>
      </c>
      <c r="U16" s="2">
        <f t="shared" si="6"/>
        <v>0.61864406779661019</v>
      </c>
    </row>
    <row r="17" spans="1:21" s="2" customFormat="1">
      <c r="A17" s="2" t="s">
        <v>14</v>
      </c>
      <c r="C17" s="2">
        <v>280</v>
      </c>
      <c r="D17" s="2">
        <v>0</v>
      </c>
      <c r="E17" s="2">
        <v>2</v>
      </c>
      <c r="F17" s="2">
        <v>0</v>
      </c>
      <c r="G17" s="2">
        <v>0</v>
      </c>
      <c r="H17" s="2">
        <f t="shared" si="0"/>
        <v>2</v>
      </c>
      <c r="I17" s="2">
        <v>0</v>
      </c>
      <c r="J17" s="2">
        <v>2</v>
      </c>
      <c r="K17" s="2">
        <v>1</v>
      </c>
      <c r="L17" s="2">
        <v>20</v>
      </c>
      <c r="M17" s="2">
        <f t="shared" si="1"/>
        <v>18</v>
      </c>
      <c r="N17" s="2">
        <f t="shared" si="2"/>
        <v>22</v>
      </c>
      <c r="O17" s="2">
        <f t="shared" si="3"/>
        <v>580800</v>
      </c>
      <c r="P17" s="13">
        <f t="shared" si="4"/>
        <v>145.19999999999999</v>
      </c>
      <c r="R17" s="2">
        <v>4</v>
      </c>
      <c r="S17" s="2">
        <v>10</v>
      </c>
      <c r="T17" s="2">
        <v>5</v>
      </c>
      <c r="U17" s="2">
        <f t="shared" si="6"/>
        <v>0.26315789473684209</v>
      </c>
    </row>
    <row r="18" spans="1:21" s="2" customFormat="1">
      <c r="A18" s="2" t="s">
        <v>14</v>
      </c>
      <c r="C18" s="2">
        <v>280</v>
      </c>
      <c r="D18" s="2">
        <v>0</v>
      </c>
      <c r="E18" s="2">
        <v>2</v>
      </c>
      <c r="F18" s="2">
        <v>0</v>
      </c>
      <c r="G18" s="2">
        <v>0</v>
      </c>
      <c r="H18" s="2">
        <f t="shared" si="0"/>
        <v>2</v>
      </c>
      <c r="I18" s="2">
        <v>1</v>
      </c>
      <c r="J18" s="2">
        <v>0</v>
      </c>
      <c r="K18" s="2">
        <v>2</v>
      </c>
      <c r="L18" s="2">
        <v>17</v>
      </c>
      <c r="M18" s="2">
        <f t="shared" si="1"/>
        <v>16</v>
      </c>
      <c r="N18" s="2">
        <f t="shared" si="2"/>
        <v>19</v>
      </c>
      <c r="O18" s="2">
        <f t="shared" si="3"/>
        <v>501599.99999999994</v>
      </c>
      <c r="P18" s="13">
        <f t="shared" si="4"/>
        <v>125.39999999999999</v>
      </c>
      <c r="R18" s="2">
        <v>2</v>
      </c>
      <c r="S18" s="2">
        <v>9</v>
      </c>
      <c r="T18" s="2">
        <v>4</v>
      </c>
      <c r="U18" s="2">
        <f t="shared" si="6"/>
        <v>0.26666666666666666</v>
      </c>
    </row>
    <row r="19" spans="1:21" s="2" customFormat="1">
      <c r="A19" s="2" t="s">
        <v>15</v>
      </c>
      <c r="C19" s="2">
        <v>280</v>
      </c>
      <c r="D19" s="2">
        <v>0</v>
      </c>
      <c r="E19" s="2">
        <v>1</v>
      </c>
      <c r="F19" s="2">
        <v>0</v>
      </c>
      <c r="G19" s="2">
        <v>0</v>
      </c>
      <c r="H19" s="2">
        <f t="shared" si="0"/>
        <v>1</v>
      </c>
      <c r="I19" s="2">
        <v>0</v>
      </c>
      <c r="J19" s="2">
        <v>0</v>
      </c>
      <c r="K19" s="2">
        <v>2</v>
      </c>
      <c r="L19" s="2">
        <v>53</v>
      </c>
      <c r="M19" s="2">
        <f t="shared" si="1"/>
        <v>53</v>
      </c>
      <c r="N19" s="2">
        <f t="shared" si="2"/>
        <v>54</v>
      </c>
      <c r="O19" s="2">
        <f t="shared" si="3"/>
        <v>1425600</v>
      </c>
      <c r="P19" s="13">
        <f t="shared" si="4"/>
        <v>356.4</v>
      </c>
      <c r="R19" s="2">
        <v>4</v>
      </c>
      <c r="S19" s="2">
        <v>18</v>
      </c>
      <c r="T19" s="2">
        <v>42</v>
      </c>
      <c r="U19" s="2">
        <f t="shared" si="6"/>
        <v>0.65625</v>
      </c>
    </row>
    <row r="20" spans="1:21" s="2" customFormat="1">
      <c r="A20" s="2" t="s">
        <v>15</v>
      </c>
      <c r="C20" s="2">
        <v>280</v>
      </c>
      <c r="D20" s="2">
        <v>0</v>
      </c>
      <c r="E20" s="2">
        <v>1</v>
      </c>
      <c r="F20" s="2">
        <v>0</v>
      </c>
      <c r="G20" s="2">
        <v>0</v>
      </c>
      <c r="H20" s="2">
        <f t="shared" si="0"/>
        <v>1</v>
      </c>
      <c r="I20" s="2">
        <v>0</v>
      </c>
      <c r="J20" s="2">
        <v>0</v>
      </c>
      <c r="K20" s="2">
        <v>2</v>
      </c>
      <c r="L20" s="2">
        <v>57</v>
      </c>
      <c r="M20" s="2">
        <f t="shared" si="1"/>
        <v>57</v>
      </c>
      <c r="N20" s="2">
        <f t="shared" si="2"/>
        <v>58</v>
      </c>
      <c r="O20" s="2">
        <f t="shared" si="3"/>
        <v>1531199.9999999998</v>
      </c>
      <c r="P20" s="13">
        <f t="shared" si="4"/>
        <v>382.79999999999995</v>
      </c>
      <c r="R20" s="2">
        <v>3</v>
      </c>
      <c r="S20" s="2">
        <v>13</v>
      </c>
      <c r="T20" s="2">
        <v>34</v>
      </c>
      <c r="U20" s="2">
        <f t="shared" si="6"/>
        <v>0.68</v>
      </c>
    </row>
    <row r="21" spans="1:21">
      <c r="M21" t="s">
        <v>60</v>
      </c>
    </row>
    <row r="22" spans="1:21">
      <c r="A22" t="s">
        <v>37</v>
      </c>
      <c r="M22" s="5">
        <f>M3/N3</f>
        <v>0.98</v>
      </c>
      <c r="N22" s="5">
        <f>AVERAGE(M22:M27)</f>
        <v>0.9176047178130512</v>
      </c>
    </row>
    <row r="23" spans="1:21">
      <c r="A23" t="s">
        <v>38</v>
      </c>
      <c r="M23" s="5">
        <f t="shared" ref="M23:M39" si="7">M4/N4</f>
        <v>0.96875</v>
      </c>
    </row>
    <row r="24" spans="1:21">
      <c r="A24" t="s">
        <v>39</v>
      </c>
      <c r="M24" s="5">
        <f t="shared" si="7"/>
        <v>0.7142857142857143</v>
      </c>
    </row>
    <row r="25" spans="1:21">
      <c r="A25" t="s">
        <v>41</v>
      </c>
      <c r="M25" s="5">
        <f t="shared" si="7"/>
        <v>0.92592592592592593</v>
      </c>
    </row>
    <row r="26" spans="1:21">
      <c r="A26" t="s">
        <v>40</v>
      </c>
      <c r="M26" s="5">
        <f t="shared" si="7"/>
        <v>1</v>
      </c>
    </row>
    <row r="27" spans="1:21">
      <c r="M27" s="5">
        <f t="shared" si="7"/>
        <v>0.91666666666666663</v>
      </c>
    </row>
    <row r="28" spans="1:21">
      <c r="A28" t="s">
        <v>42</v>
      </c>
      <c r="M28" s="3">
        <f t="shared" si="7"/>
        <v>0.9285714285714286</v>
      </c>
      <c r="N28" s="3">
        <f>AVERAGE(M28:M33)</f>
        <v>0.84356909430438842</v>
      </c>
    </row>
    <row r="29" spans="1:21">
      <c r="M29" s="3">
        <f t="shared" si="7"/>
        <v>0.94117647058823528</v>
      </c>
    </row>
    <row r="30" spans="1:21">
      <c r="M30" s="3">
        <f t="shared" si="7"/>
        <v>1</v>
      </c>
    </row>
    <row r="31" spans="1:21">
      <c r="M31" s="3">
        <f t="shared" si="7"/>
        <v>0.625</v>
      </c>
    </row>
    <row r="32" spans="1:21">
      <c r="M32" s="3">
        <f t="shared" si="7"/>
        <v>0.66666666666666663</v>
      </c>
    </row>
    <row r="33" spans="13:14">
      <c r="M33" s="3">
        <f t="shared" si="7"/>
        <v>0.9</v>
      </c>
    </row>
    <row r="34" spans="13:14">
      <c r="M34" s="2">
        <f t="shared" si="7"/>
        <v>1</v>
      </c>
      <c r="N34" s="2">
        <f>AVERAGE(M34:M39)</f>
        <v>0.92542119725180827</v>
      </c>
    </row>
    <row r="35" spans="13:14">
      <c r="M35" s="2">
        <f t="shared" si="7"/>
        <v>0.92800000000000005</v>
      </c>
    </row>
    <row r="36" spans="13:14">
      <c r="M36" s="2">
        <f t="shared" si="7"/>
        <v>0.81818181818181823</v>
      </c>
    </row>
    <row r="37" spans="13:14">
      <c r="M37" s="2">
        <f t="shared" si="7"/>
        <v>0.84210526315789469</v>
      </c>
    </row>
    <row r="38" spans="13:14">
      <c r="M38" s="2">
        <f t="shared" si="7"/>
        <v>0.98148148148148151</v>
      </c>
    </row>
    <row r="39" spans="13:14">
      <c r="M39" s="2">
        <f t="shared" si="7"/>
        <v>0.98275862068965514</v>
      </c>
    </row>
  </sheetData>
  <mergeCells count="2">
    <mergeCell ref="E1:H1"/>
    <mergeCell ref="I1:L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workbookViewId="0">
      <selection activeCell="O36" sqref="O36"/>
    </sheetView>
  </sheetViews>
  <sheetFormatPr baseColWidth="10" defaultColWidth="11" defaultRowHeight="15" x14ac:dyDescent="0"/>
  <cols>
    <col min="18" max="18" width="13.1640625" customWidth="1"/>
  </cols>
  <sheetData>
    <row r="1" spans="1:19">
      <c r="E1" s="16" t="s">
        <v>31</v>
      </c>
      <c r="F1" s="16"/>
      <c r="G1" s="16"/>
      <c r="H1" s="16"/>
    </row>
    <row r="2" spans="1:19" ht="45">
      <c r="A2" s="1" t="s">
        <v>0</v>
      </c>
      <c r="B2" s="1" t="s">
        <v>19</v>
      </c>
      <c r="C2" s="1" t="s">
        <v>1</v>
      </c>
      <c r="D2" s="1" t="s">
        <v>2</v>
      </c>
      <c r="E2" s="1" t="s">
        <v>4</v>
      </c>
      <c r="F2" s="1" t="s">
        <v>5</v>
      </c>
      <c r="G2" s="1" t="s">
        <v>22</v>
      </c>
      <c r="H2" s="1" t="s">
        <v>6</v>
      </c>
      <c r="I2" s="1" t="s">
        <v>23</v>
      </c>
      <c r="J2" s="1" t="s">
        <v>20</v>
      </c>
      <c r="K2" s="1" t="s">
        <v>7</v>
      </c>
      <c r="L2" s="1" t="s">
        <v>8</v>
      </c>
      <c r="M2" s="1" t="s">
        <v>21</v>
      </c>
      <c r="N2" s="1" t="s">
        <v>34</v>
      </c>
      <c r="O2" s="1" t="s">
        <v>35</v>
      </c>
      <c r="P2" s="1" t="s">
        <v>36</v>
      </c>
      <c r="Q2" s="1" t="s">
        <v>49</v>
      </c>
    </row>
    <row r="3" spans="1:19" s="5" customFormat="1">
      <c r="A3" s="5" t="s">
        <v>44</v>
      </c>
      <c r="B3" s="6">
        <v>0.39027777777777778</v>
      </c>
      <c r="C3" s="5">
        <v>1000</v>
      </c>
      <c r="D3" s="5">
        <v>0</v>
      </c>
      <c r="E3" s="5">
        <v>8</v>
      </c>
      <c r="F3" s="5">
        <v>2</v>
      </c>
      <c r="G3" s="5">
        <v>0</v>
      </c>
      <c r="H3" s="5">
        <v>30</v>
      </c>
      <c r="I3" s="5">
        <f>H3-G3-F3-E3</f>
        <v>20</v>
      </c>
      <c r="J3" s="5">
        <f>H3+D3</f>
        <v>30</v>
      </c>
      <c r="K3" s="5">
        <f>(H3*1.001)*4000</f>
        <v>120119.99999999999</v>
      </c>
      <c r="L3" s="11">
        <f>H3*1.001</f>
        <v>30.029999999999998</v>
      </c>
      <c r="M3" s="11">
        <f>AVERAGE(L3:L6, L7:L8)</f>
        <v>19.352666666666668</v>
      </c>
      <c r="N3" s="5">
        <v>4</v>
      </c>
      <c r="O3" s="5">
        <v>18</v>
      </c>
      <c r="P3" s="5">
        <v>10</v>
      </c>
      <c r="Q3" s="5">
        <f>P3/(SUM(N3:P3))</f>
        <v>0.3125</v>
      </c>
      <c r="R3" s="10">
        <f>AVERAGE(Q3:Q8)</f>
        <v>0.3372852773588067</v>
      </c>
      <c r="S3" s="5" t="s">
        <v>51</v>
      </c>
    </row>
    <row r="4" spans="1:19" s="5" customFormat="1">
      <c r="A4" s="5" t="s">
        <v>44</v>
      </c>
      <c r="C4" s="5">
        <v>1000</v>
      </c>
      <c r="D4" s="5">
        <v>0</v>
      </c>
      <c r="E4" s="5">
        <v>7</v>
      </c>
      <c r="F4" s="5">
        <v>8</v>
      </c>
      <c r="G4" s="5">
        <v>0</v>
      </c>
      <c r="H4" s="5">
        <v>38</v>
      </c>
      <c r="I4" s="5">
        <f t="shared" ref="I4:I6" si="0">H4-G4-F4-E4</f>
        <v>23</v>
      </c>
      <c r="J4" s="5">
        <f t="shared" ref="J4:J20" si="1">H4+D4</f>
        <v>38</v>
      </c>
      <c r="K4" s="5">
        <f t="shared" ref="K4:K20" si="2">(H4*1.001)*4000</f>
        <v>152152</v>
      </c>
      <c r="L4" s="11">
        <f t="shared" ref="L4:L8" si="3">H4*1.001</f>
        <v>38.037999999999997</v>
      </c>
      <c r="M4" s="11"/>
      <c r="N4" s="5">
        <v>2</v>
      </c>
      <c r="O4" s="5">
        <v>15</v>
      </c>
      <c r="P4" s="5">
        <v>22</v>
      </c>
      <c r="Q4" s="5">
        <f t="shared" ref="Q4:Q14" si="4">P4/(SUM(N4:P4))</f>
        <v>0.5641025641025641</v>
      </c>
      <c r="R4" s="10">
        <f>STDEV(Q3:Q8)</f>
        <v>0.12840727948186453</v>
      </c>
      <c r="S4" s="5" t="s">
        <v>52</v>
      </c>
    </row>
    <row r="5" spans="1:19" s="5" customFormat="1">
      <c r="A5" s="5" t="s">
        <v>45</v>
      </c>
      <c r="C5" s="5">
        <v>1000</v>
      </c>
      <c r="D5" s="5">
        <v>0</v>
      </c>
      <c r="E5" s="5">
        <v>3</v>
      </c>
      <c r="F5" s="5">
        <v>0</v>
      </c>
      <c r="G5" s="5">
        <v>0</v>
      </c>
      <c r="H5" s="5">
        <v>6</v>
      </c>
      <c r="I5" s="5">
        <f t="shared" si="0"/>
        <v>3</v>
      </c>
      <c r="J5" s="5">
        <f t="shared" si="1"/>
        <v>6</v>
      </c>
      <c r="K5" s="5">
        <f t="shared" si="2"/>
        <v>24023.999999999996</v>
      </c>
      <c r="L5" s="11">
        <f t="shared" si="3"/>
        <v>6.0059999999999993</v>
      </c>
      <c r="M5" s="11"/>
      <c r="N5" s="5">
        <v>2</v>
      </c>
      <c r="O5" s="5">
        <v>5</v>
      </c>
      <c r="P5" s="5">
        <v>2</v>
      </c>
      <c r="Q5" s="5">
        <f t="shared" si="4"/>
        <v>0.22222222222222221</v>
      </c>
    </row>
    <row r="6" spans="1:19" s="5" customFormat="1">
      <c r="A6" s="5" t="s">
        <v>17</v>
      </c>
      <c r="C6" s="5">
        <v>1000</v>
      </c>
      <c r="D6" s="5">
        <v>0</v>
      </c>
      <c r="E6" s="5">
        <v>1</v>
      </c>
      <c r="F6" s="5">
        <v>2</v>
      </c>
      <c r="G6" s="5">
        <v>1</v>
      </c>
      <c r="H6" s="5">
        <v>4</v>
      </c>
      <c r="I6" s="5">
        <f t="shared" si="0"/>
        <v>0</v>
      </c>
      <c r="J6" s="5">
        <f t="shared" si="1"/>
        <v>4</v>
      </c>
      <c r="K6" s="5">
        <f t="shared" si="2"/>
        <v>16015.999999999998</v>
      </c>
      <c r="L6" s="11">
        <f t="shared" si="3"/>
        <v>4.0039999999999996</v>
      </c>
      <c r="M6" s="11"/>
      <c r="N6" s="5">
        <v>0</v>
      </c>
      <c r="O6" s="5">
        <v>3</v>
      </c>
      <c r="P6" s="5">
        <v>2</v>
      </c>
      <c r="Q6" s="5">
        <f t="shared" si="4"/>
        <v>0.4</v>
      </c>
    </row>
    <row r="7" spans="1:19" s="5" customFormat="1">
      <c r="A7" s="5" t="s">
        <v>18</v>
      </c>
      <c r="C7" s="5">
        <v>1000</v>
      </c>
      <c r="D7" s="5">
        <v>0</v>
      </c>
      <c r="E7" s="5">
        <v>0</v>
      </c>
      <c r="F7" s="5">
        <v>7</v>
      </c>
      <c r="G7" s="5">
        <v>0</v>
      </c>
      <c r="H7" s="5">
        <v>19</v>
      </c>
      <c r="I7" s="5">
        <f>H7-G7-F7-E7</f>
        <v>12</v>
      </c>
      <c r="J7" s="5">
        <f t="shared" si="1"/>
        <v>19</v>
      </c>
      <c r="K7" s="5">
        <f t="shared" si="2"/>
        <v>76076</v>
      </c>
      <c r="L7" s="11">
        <f t="shared" si="3"/>
        <v>19.018999999999998</v>
      </c>
      <c r="M7" s="11"/>
      <c r="N7" s="5">
        <v>2</v>
      </c>
      <c r="O7" s="5">
        <v>8</v>
      </c>
      <c r="P7" s="5">
        <v>3</v>
      </c>
      <c r="Q7" s="5">
        <f>P7/(SUM(N7:P7))</f>
        <v>0.23076923076923078</v>
      </c>
    </row>
    <row r="8" spans="1:19" s="5" customFormat="1">
      <c r="A8" s="5" t="s">
        <v>18</v>
      </c>
      <c r="C8" s="5">
        <v>1000</v>
      </c>
      <c r="D8" s="5">
        <v>0</v>
      </c>
      <c r="E8" s="5">
        <v>1</v>
      </c>
      <c r="F8" s="5">
        <v>6</v>
      </c>
      <c r="G8" s="5">
        <v>0</v>
      </c>
      <c r="H8" s="5">
        <v>19</v>
      </c>
      <c r="I8" s="5">
        <f>H8-G8-F8-E8</f>
        <v>12</v>
      </c>
      <c r="J8" s="5">
        <f t="shared" si="1"/>
        <v>19</v>
      </c>
      <c r="K8" s="5">
        <f t="shared" si="2"/>
        <v>76076</v>
      </c>
      <c r="L8" s="11">
        <f t="shared" si="3"/>
        <v>19.018999999999998</v>
      </c>
      <c r="M8" s="11"/>
      <c r="N8" s="5">
        <v>5</v>
      </c>
      <c r="O8" s="5">
        <v>7</v>
      </c>
      <c r="P8" s="5">
        <v>5</v>
      </c>
      <c r="Q8" s="5">
        <f>P8/(SUM(N8:P8))</f>
        <v>0.29411764705882354</v>
      </c>
    </row>
    <row r="9" spans="1:19">
      <c r="A9" t="s">
        <v>10</v>
      </c>
      <c r="C9">
        <v>400</v>
      </c>
      <c r="D9">
        <v>0</v>
      </c>
      <c r="E9">
        <v>11</v>
      </c>
      <c r="F9">
        <v>5</v>
      </c>
      <c r="G9">
        <v>0</v>
      </c>
      <c r="H9">
        <v>32</v>
      </c>
      <c r="I9">
        <f>H9-G9-F9-E9</f>
        <v>16</v>
      </c>
      <c r="J9" s="3">
        <f t="shared" si="1"/>
        <v>32</v>
      </c>
      <c r="K9" s="3">
        <f t="shared" si="2"/>
        <v>128127.99999999999</v>
      </c>
      <c r="L9" s="12">
        <f>H9*1.001</f>
        <v>32.031999999999996</v>
      </c>
      <c r="M9" s="12">
        <f>AVERAGE(L9:L10,L11:L14 )</f>
        <v>17.016999999999999</v>
      </c>
      <c r="N9">
        <v>1</v>
      </c>
      <c r="O9">
        <v>5</v>
      </c>
      <c r="P9">
        <v>37</v>
      </c>
      <c r="Q9">
        <f>P9/(SUM(N9:P9))</f>
        <v>0.86046511627906974</v>
      </c>
      <c r="R9" s="9">
        <f>AVERAGE(Q9:Q14)</f>
        <v>0.69449460692193254</v>
      </c>
      <c r="S9" s="3" t="s">
        <v>51</v>
      </c>
    </row>
    <row r="10" spans="1:19">
      <c r="A10" t="s">
        <v>10</v>
      </c>
      <c r="C10">
        <v>400</v>
      </c>
      <c r="D10">
        <v>0</v>
      </c>
      <c r="E10">
        <v>10</v>
      </c>
      <c r="F10">
        <v>2</v>
      </c>
      <c r="G10">
        <v>0</v>
      </c>
      <c r="H10">
        <v>26</v>
      </c>
      <c r="I10">
        <f>H10-G10-F10-E10</f>
        <v>14</v>
      </c>
      <c r="J10" s="3">
        <f t="shared" si="1"/>
        <v>26</v>
      </c>
      <c r="K10" s="3">
        <f t="shared" si="2"/>
        <v>104103.99999999999</v>
      </c>
      <c r="L10" s="12">
        <f t="shared" ref="L10:L14" si="5">H10*1.001</f>
        <v>26.025999999999996</v>
      </c>
      <c r="M10" s="12"/>
      <c r="N10">
        <v>7</v>
      </c>
      <c r="O10">
        <v>0</v>
      </c>
      <c r="P10">
        <v>25</v>
      </c>
      <c r="Q10">
        <f>P10/(SUM(N10:P10))</f>
        <v>0.78125</v>
      </c>
      <c r="R10" s="9">
        <f>STDEV(Q9:Q14)</f>
        <v>0.14318843738091797</v>
      </c>
      <c r="S10" s="3" t="s">
        <v>52</v>
      </c>
    </row>
    <row r="11" spans="1:19">
      <c r="A11" t="s">
        <v>11</v>
      </c>
      <c r="C11">
        <v>400</v>
      </c>
      <c r="D11">
        <v>0</v>
      </c>
      <c r="E11">
        <v>4</v>
      </c>
      <c r="F11">
        <v>0</v>
      </c>
      <c r="G11">
        <v>0</v>
      </c>
      <c r="H11">
        <v>7</v>
      </c>
      <c r="I11">
        <f t="shared" ref="I11:I14" si="6">H11-G11-F11-E11</f>
        <v>3</v>
      </c>
      <c r="J11" s="3">
        <f t="shared" si="1"/>
        <v>7</v>
      </c>
      <c r="K11" s="3">
        <f t="shared" si="2"/>
        <v>28028</v>
      </c>
      <c r="L11" s="12">
        <f t="shared" si="5"/>
        <v>7.0069999999999997</v>
      </c>
      <c r="M11" s="12"/>
      <c r="N11">
        <v>0</v>
      </c>
      <c r="O11">
        <v>5</v>
      </c>
      <c r="P11">
        <v>13</v>
      </c>
      <c r="Q11">
        <f t="shared" si="4"/>
        <v>0.72222222222222221</v>
      </c>
    </row>
    <row r="12" spans="1:19">
      <c r="A12" t="s">
        <v>11</v>
      </c>
      <c r="C12">
        <v>400</v>
      </c>
      <c r="D12">
        <v>0</v>
      </c>
      <c r="E12">
        <v>5</v>
      </c>
      <c r="F12">
        <v>3</v>
      </c>
      <c r="G12">
        <v>0</v>
      </c>
      <c r="H12">
        <v>11</v>
      </c>
      <c r="I12">
        <f t="shared" si="6"/>
        <v>3</v>
      </c>
      <c r="J12" s="3">
        <f t="shared" si="1"/>
        <v>11</v>
      </c>
      <c r="K12" s="3">
        <f t="shared" si="2"/>
        <v>44044</v>
      </c>
      <c r="L12" s="12">
        <f t="shared" si="5"/>
        <v>11.010999999999999</v>
      </c>
      <c r="M12" s="12"/>
      <c r="N12">
        <v>4</v>
      </c>
      <c r="O12">
        <v>1</v>
      </c>
      <c r="P12">
        <v>13</v>
      </c>
      <c r="Q12">
        <f t="shared" si="4"/>
        <v>0.72222222222222221</v>
      </c>
    </row>
    <row r="13" spans="1:19">
      <c r="A13" t="s">
        <v>12</v>
      </c>
      <c r="C13">
        <v>400</v>
      </c>
      <c r="D13">
        <v>0</v>
      </c>
      <c r="E13">
        <v>5</v>
      </c>
      <c r="F13">
        <v>2</v>
      </c>
      <c r="G13">
        <v>2</v>
      </c>
      <c r="H13">
        <v>13</v>
      </c>
      <c r="I13">
        <f t="shared" si="6"/>
        <v>4</v>
      </c>
      <c r="J13" s="3">
        <f t="shared" si="1"/>
        <v>13</v>
      </c>
      <c r="K13" s="3">
        <f t="shared" si="2"/>
        <v>52051.999999999993</v>
      </c>
      <c r="L13" s="12">
        <f t="shared" si="5"/>
        <v>13.012999999999998</v>
      </c>
      <c r="M13" s="12"/>
      <c r="N13">
        <v>2</v>
      </c>
      <c r="O13">
        <v>8</v>
      </c>
      <c r="P13">
        <v>8</v>
      </c>
      <c r="Q13">
        <f t="shared" si="4"/>
        <v>0.44444444444444442</v>
      </c>
    </row>
    <row r="14" spans="1:19">
      <c r="A14" t="s">
        <v>12</v>
      </c>
      <c r="C14">
        <v>400</v>
      </c>
      <c r="D14">
        <v>0</v>
      </c>
      <c r="E14">
        <v>2</v>
      </c>
      <c r="F14">
        <v>2</v>
      </c>
      <c r="G14">
        <v>1</v>
      </c>
      <c r="H14">
        <v>13</v>
      </c>
      <c r="I14">
        <f t="shared" si="6"/>
        <v>8</v>
      </c>
      <c r="J14" s="3">
        <f t="shared" si="1"/>
        <v>13</v>
      </c>
      <c r="K14" s="3">
        <f t="shared" si="2"/>
        <v>52051.999999999993</v>
      </c>
      <c r="L14" s="12">
        <f t="shared" si="5"/>
        <v>13.012999999999998</v>
      </c>
      <c r="M14" s="12"/>
      <c r="N14">
        <v>1</v>
      </c>
      <c r="O14">
        <v>3</v>
      </c>
      <c r="P14">
        <v>7</v>
      </c>
      <c r="Q14">
        <f t="shared" si="4"/>
        <v>0.63636363636363635</v>
      </c>
    </row>
    <row r="15" spans="1:19" s="2" customFormat="1">
      <c r="A15" s="2" t="s">
        <v>13</v>
      </c>
      <c r="C15" s="2">
        <v>280</v>
      </c>
      <c r="D15" s="2">
        <v>0</v>
      </c>
      <c r="E15" s="2">
        <v>13</v>
      </c>
      <c r="F15" s="2">
        <v>9</v>
      </c>
      <c r="G15" s="2">
        <v>0</v>
      </c>
      <c r="H15" s="2">
        <v>111</v>
      </c>
      <c r="I15" s="2">
        <f t="shared" ref="I15:I20" si="7">H15-G15-F15-E15</f>
        <v>89</v>
      </c>
      <c r="J15" s="2">
        <f t="shared" si="1"/>
        <v>111</v>
      </c>
      <c r="K15" s="2">
        <f t="shared" si="2"/>
        <v>444443.99999999994</v>
      </c>
      <c r="L15" s="13">
        <f>H15*1.001</f>
        <v>111.11099999999999</v>
      </c>
      <c r="M15" s="13">
        <f>AVERAGE(L15:L16,L17:L18, L19:L20)</f>
        <v>72.238833333333318</v>
      </c>
      <c r="N15" s="2">
        <v>5</v>
      </c>
      <c r="O15" s="2">
        <v>17</v>
      </c>
      <c r="P15" s="2">
        <v>83</v>
      </c>
      <c r="Q15" s="2">
        <f t="shared" ref="Q15:Q20" si="8">P15/(SUM(N15:P15))</f>
        <v>0.79047619047619044</v>
      </c>
      <c r="R15" s="8">
        <f>AVERAGE(Q15:Q20)</f>
        <v>0.75803698307040557</v>
      </c>
      <c r="S15" s="2" t="s">
        <v>51</v>
      </c>
    </row>
    <row r="16" spans="1:19" s="2" customFormat="1">
      <c r="A16" s="2" t="s">
        <v>13</v>
      </c>
      <c r="C16" s="2">
        <v>280</v>
      </c>
      <c r="D16" s="2">
        <v>0</v>
      </c>
      <c r="E16" s="2">
        <v>16</v>
      </c>
      <c r="F16" s="2">
        <v>8</v>
      </c>
      <c r="G16" s="2">
        <v>0</v>
      </c>
      <c r="H16" s="2">
        <v>97</v>
      </c>
      <c r="I16" s="2">
        <f t="shared" si="7"/>
        <v>73</v>
      </c>
      <c r="J16" s="2">
        <f t="shared" si="1"/>
        <v>97</v>
      </c>
      <c r="K16" s="2">
        <f t="shared" si="2"/>
        <v>388388</v>
      </c>
      <c r="L16" s="13">
        <f t="shared" ref="L16:L20" si="9">H16*1.001</f>
        <v>97.096999999999994</v>
      </c>
      <c r="M16" s="13"/>
      <c r="N16" s="2">
        <v>2</v>
      </c>
      <c r="O16" s="2">
        <v>23</v>
      </c>
      <c r="P16" s="2">
        <v>77</v>
      </c>
      <c r="Q16" s="2">
        <f t="shared" si="8"/>
        <v>0.75490196078431371</v>
      </c>
      <c r="R16" s="8">
        <f>STDEV(Q15:Q20)</f>
        <v>3.8283079301531818E-2</v>
      </c>
      <c r="S16" s="2" t="s">
        <v>52</v>
      </c>
    </row>
    <row r="17" spans="1:17" s="2" customFormat="1">
      <c r="A17" s="2" t="s">
        <v>46</v>
      </c>
      <c r="C17" s="2">
        <v>280</v>
      </c>
      <c r="D17" s="2">
        <v>0</v>
      </c>
      <c r="E17" s="2">
        <v>15</v>
      </c>
      <c r="F17" s="2">
        <v>4</v>
      </c>
      <c r="G17" s="2">
        <v>0</v>
      </c>
      <c r="H17" s="2">
        <v>22</v>
      </c>
      <c r="I17" s="2">
        <f t="shared" si="7"/>
        <v>3</v>
      </c>
      <c r="J17" s="2">
        <f t="shared" si="1"/>
        <v>22</v>
      </c>
      <c r="K17" s="2">
        <f t="shared" si="2"/>
        <v>88088</v>
      </c>
      <c r="L17" s="13">
        <f t="shared" si="9"/>
        <v>22.021999999999998</v>
      </c>
      <c r="M17" s="13"/>
      <c r="N17" s="2">
        <v>2</v>
      </c>
      <c r="O17" s="2">
        <v>2</v>
      </c>
      <c r="P17" s="2">
        <v>12</v>
      </c>
      <c r="Q17" s="2">
        <f t="shared" si="8"/>
        <v>0.75</v>
      </c>
    </row>
    <row r="18" spans="1:17" s="2" customFormat="1">
      <c r="A18" s="2" t="s">
        <v>14</v>
      </c>
      <c r="C18" s="2">
        <v>280</v>
      </c>
      <c r="D18" s="2">
        <v>0</v>
      </c>
      <c r="E18" s="2">
        <v>9</v>
      </c>
      <c r="F18" s="2">
        <v>3</v>
      </c>
      <c r="G18" s="2">
        <v>0</v>
      </c>
      <c r="H18" s="2">
        <v>20</v>
      </c>
      <c r="I18" s="2">
        <f t="shared" si="7"/>
        <v>8</v>
      </c>
      <c r="J18" s="2">
        <f t="shared" si="1"/>
        <v>20</v>
      </c>
      <c r="K18" s="2">
        <f t="shared" si="2"/>
        <v>80079.999999999985</v>
      </c>
      <c r="L18" s="13">
        <f t="shared" si="9"/>
        <v>20.019999999999996</v>
      </c>
      <c r="M18" s="13"/>
      <c r="N18" s="2">
        <v>1</v>
      </c>
      <c r="O18" s="2">
        <v>4</v>
      </c>
      <c r="P18" s="2">
        <v>11</v>
      </c>
      <c r="Q18" s="2">
        <f t="shared" si="8"/>
        <v>0.6875</v>
      </c>
    </row>
    <row r="19" spans="1:17" s="2" customFormat="1">
      <c r="A19" s="2" t="s">
        <v>15</v>
      </c>
      <c r="C19" s="2">
        <v>280</v>
      </c>
      <c r="D19" s="2">
        <v>0</v>
      </c>
      <c r="E19" s="2">
        <v>10</v>
      </c>
      <c r="F19" s="2">
        <v>12</v>
      </c>
      <c r="G19" s="2">
        <v>0</v>
      </c>
      <c r="H19" s="2">
        <v>110</v>
      </c>
      <c r="I19" s="2">
        <f t="shared" si="7"/>
        <v>88</v>
      </c>
      <c r="J19" s="2">
        <f t="shared" si="1"/>
        <v>110</v>
      </c>
      <c r="K19" s="2">
        <f t="shared" si="2"/>
        <v>440439.99999999994</v>
      </c>
      <c r="L19" s="13">
        <f t="shared" si="9"/>
        <v>110.10999999999999</v>
      </c>
      <c r="M19" s="13"/>
      <c r="N19" s="2">
        <v>1</v>
      </c>
      <c r="O19" s="2">
        <v>25</v>
      </c>
      <c r="P19" s="2">
        <v>95</v>
      </c>
      <c r="Q19" s="2">
        <f t="shared" si="8"/>
        <v>0.78512396694214881</v>
      </c>
    </row>
    <row r="20" spans="1:17" s="2" customFormat="1">
      <c r="A20" s="2" t="s">
        <v>15</v>
      </c>
      <c r="C20" s="2">
        <v>280</v>
      </c>
      <c r="D20" s="2">
        <v>0</v>
      </c>
      <c r="E20" s="2">
        <v>13</v>
      </c>
      <c r="F20" s="2">
        <v>8</v>
      </c>
      <c r="G20" s="2">
        <v>0</v>
      </c>
      <c r="H20" s="2">
        <v>73</v>
      </c>
      <c r="I20" s="2">
        <f t="shared" si="7"/>
        <v>52</v>
      </c>
      <c r="J20" s="2">
        <f t="shared" si="1"/>
        <v>73</v>
      </c>
      <c r="K20" s="2">
        <f t="shared" si="2"/>
        <v>292292</v>
      </c>
      <c r="L20" s="13">
        <f t="shared" si="9"/>
        <v>73.072999999999993</v>
      </c>
      <c r="M20" s="13"/>
      <c r="N20" s="2">
        <v>5</v>
      </c>
      <c r="O20" s="2">
        <v>15</v>
      </c>
      <c r="P20" s="2">
        <v>71</v>
      </c>
      <c r="Q20" s="2">
        <f t="shared" si="8"/>
        <v>0.78021978021978022</v>
      </c>
    </row>
    <row r="21" spans="1:17">
      <c r="A21" t="s">
        <v>47</v>
      </c>
      <c r="I21" t="s">
        <v>60</v>
      </c>
    </row>
    <row r="22" spans="1:17">
      <c r="A22" t="s">
        <v>48</v>
      </c>
      <c r="I22" s="5">
        <f>I3/J3</f>
        <v>0.66666666666666663</v>
      </c>
      <c r="J22" s="5">
        <f>AVERAGE(I22:I27)</f>
        <v>0.50584795321637432</v>
      </c>
    </row>
    <row r="23" spans="1:17">
      <c r="I23" s="5">
        <f t="shared" ref="I23:I39" si="10">I4/J4</f>
        <v>0.60526315789473684</v>
      </c>
    </row>
    <row r="24" spans="1:17">
      <c r="A24" t="s">
        <v>39</v>
      </c>
      <c r="D24">
        <f>1000/999</f>
        <v>1.0010010010010011</v>
      </c>
      <c r="I24" s="5">
        <f t="shared" si="10"/>
        <v>0.5</v>
      </c>
    </row>
    <row r="25" spans="1:17">
      <c r="A25" t="s">
        <v>41</v>
      </c>
      <c r="I25" s="5">
        <f t="shared" si="10"/>
        <v>0</v>
      </c>
    </row>
    <row r="26" spans="1:17">
      <c r="A26" t="s">
        <v>40</v>
      </c>
      <c r="I26" s="5">
        <f t="shared" si="10"/>
        <v>0.63157894736842102</v>
      </c>
      <c r="L26" t="s">
        <v>61</v>
      </c>
      <c r="M26">
        <v>280</v>
      </c>
      <c r="N26">
        <v>400</v>
      </c>
      <c r="O26">
        <v>1000</v>
      </c>
    </row>
    <row r="27" spans="1:17">
      <c r="I27" s="5">
        <f t="shared" si="10"/>
        <v>0.63157894736842102</v>
      </c>
      <c r="M27">
        <f>(72/1037)*100</f>
        <v>6.9431051108968171</v>
      </c>
      <c r="N27">
        <f>(17/989)*100</f>
        <v>1.7189079878665317</v>
      </c>
      <c r="O27">
        <f>(19/1108)*100</f>
        <v>1.7148014440433215</v>
      </c>
    </row>
    <row r="28" spans="1:17">
      <c r="A28" t="s">
        <v>43</v>
      </c>
      <c r="I28" s="3">
        <f t="shared" si="10"/>
        <v>0.5</v>
      </c>
      <c r="J28" s="3">
        <f>AVERAGE(I28:I33)</f>
        <v>0.44380619380619374</v>
      </c>
    </row>
    <row r="29" spans="1:17">
      <c r="I29" s="3">
        <f t="shared" si="10"/>
        <v>0.53846153846153844</v>
      </c>
    </row>
    <row r="30" spans="1:17">
      <c r="I30" s="3">
        <f t="shared" si="10"/>
        <v>0.42857142857142855</v>
      </c>
    </row>
    <row r="31" spans="1:17">
      <c r="I31" s="3">
        <f t="shared" si="10"/>
        <v>0.27272727272727271</v>
      </c>
    </row>
    <row r="32" spans="1:17">
      <c r="I32" s="3">
        <f t="shared" si="10"/>
        <v>0.30769230769230771</v>
      </c>
    </row>
    <row r="33" spans="9:10">
      <c r="I33" s="3">
        <f t="shared" si="10"/>
        <v>0.61538461538461542</v>
      </c>
    </row>
    <row r="34" spans="9:10">
      <c r="I34" s="2">
        <f t="shared" si="10"/>
        <v>0.80180180180180183</v>
      </c>
      <c r="J34" s="2">
        <f>AVERAGE(I34:I39)</f>
        <v>0.60051192081272575</v>
      </c>
    </row>
    <row r="35" spans="9:10">
      <c r="I35" s="2">
        <f t="shared" si="10"/>
        <v>0.75257731958762886</v>
      </c>
    </row>
    <row r="36" spans="9:10">
      <c r="I36" s="2">
        <f t="shared" si="10"/>
        <v>0.13636363636363635</v>
      </c>
    </row>
    <row r="37" spans="9:10">
      <c r="I37" s="2">
        <f t="shared" si="10"/>
        <v>0.4</v>
      </c>
    </row>
    <row r="38" spans="9:10">
      <c r="I38" s="2">
        <f t="shared" si="10"/>
        <v>0.8</v>
      </c>
    </row>
    <row r="39" spans="9:10">
      <c r="I39" s="2">
        <f t="shared" si="10"/>
        <v>0.71232876712328763</v>
      </c>
    </row>
  </sheetData>
  <mergeCells count="1">
    <mergeCell ref="E1:H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041211</vt:lpstr>
      <vt:lpstr>041511</vt:lpstr>
      <vt:lpstr>041811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2011-04-13T15:08:51Z</dcterms:created>
  <dcterms:modified xsi:type="dcterms:W3CDTF">2011-05-03T01:17:36Z</dcterms:modified>
</cp:coreProperties>
</file>